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Orientações" sheetId="1" r:id="rId4"/>
    <sheet state="visible" name="PCA 2026 - POR ITENS" sheetId="2" r:id="rId5"/>
    <sheet state="visible" name="PCA 2026 - SEM PREVISÃO" sheetId="3" r:id="rId6"/>
    <sheet state="visible" name="PCA 2026 5 versão - GENÉRICO PR" sheetId="4" r:id="rId7"/>
    <sheet state="hidden" name="PCA - GENÉRICO NÃO PREV. EM LOA" sheetId="5" r:id="rId8"/>
    <sheet state="hidden" name="NVScriptsProperties" sheetId="6" r:id="rId9"/>
    <sheet state="hidden" name="DO NOT DELETE - AutoCrat Job Se" sheetId="7" r:id="rId10"/>
  </sheets>
  <definedNames>
    <definedName hidden="1" localSheetId="1" name="_xlnm._FilterDatabase">'PCA 2026 - POR ITENS'!$A$11:$AE$1117</definedName>
    <definedName hidden="1" localSheetId="2" name="_xlnm._FilterDatabase">'PCA 2026 - SEM PREVISÃO'!$A$11:$AE$344</definedName>
    <definedName hidden="1" localSheetId="3" name="_xlnm._FilterDatabase">'PCA 2026 5 versão - GENÉRICO PR'!$A$6:$K$7</definedName>
  </definedNames>
  <calcPr/>
  <extLst>
    <ext uri="GoogleSheetsCustomDataVersion2">
      <go:sheetsCustomData xmlns:go="http://customooxmlschemas.google.com/" r:id="rId11" roundtripDataChecksum="nVBkDceido3RfYlFJUPd2aVu+BDDN6qCuAl+JC4l8sk="/>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785">
      <text>
        <t xml:space="preserve">======
ID#AAACEjuvXC0
tc={85841b67-3a40-408d-ae93-c0dbd70b1eff}    (2026-07-31 13:03:12)
[Threaded comment]
 Your version of Excel allows you to read this threaded comment; however, any edits to it will get removed if the file is opened in a newer version of Excel. Learn more: https://go.microsoft.com/fwlink/?linkid=870924
Comment:
	Processo em andamento 2025-365TR</t>
      </text>
    </comment>
    <comment authorId="0" ref="C593">
      <text>
        <t xml:space="preserve">======
ID#AAACEjuvXCc
tc={0a257454-acf2-49e0-a478-3728d9bcedf8}    (2026-07-31 13:03:12)
[Threaded comment]
 Your version of Excel allows you to read this threaded comment; however, any edits to it will get removed if the file is opened in a newer version of Excel. Learn more: https://go.microsoft.com/fwlink/?linkid=870924
Comment:
	Anteriormente, item era roupa de neoprene, modificado a pedido do CAP MENDES em 20/02/2026</t>
      </text>
    </comment>
    <comment authorId="0" ref="C1116">
      <text>
        <t xml:space="preserve">======
ID#AAACEjuvXCs
tc={68d8d534-4484-4063-babd-d48d5422d1c6}    (2026-07-31 13:03:12)
[Threaded comment]
 Your version of Excel allows you to read this threaded comment; however, any edits to it will get removed if the file is opened in a newer version of Excel. Learn more: https://go.microsoft.com/fwlink/?linkid=870924
Comment:
	Autuar também o processo de Servidor, que está na aba de sem previsão
Reply:
	Em conversa com o CB Martins em 01/04, este item nao vai mais ser adquirido pela GTI, e o valor pode ser levado para o item 2026-LFCWC FIREWALL</t>
      </text>
    </comment>
    <comment authorId="0" ref="C602">
      <text>
        <t xml:space="preserve">======
ID#AAACEjuvXCk
tc={5511ec1a-1ecc-4609-8b01-16f649717873}    (2026-07-31 13:03:12)
[Threaded comment]
 Your version of Excel allows you to read this threaded comment; however, any edits to it will get removed if the file is opened in a newer version of Excel. Learn more: https://go.microsoft.com/fwlink/?linkid=870924
Comment:
	BISSOLI: Não autuar processo (orientação Maj J. Monteiro)</t>
      </text>
    </comment>
    <comment authorId="0" ref="C89">
      <text>
        <t xml:space="preserve">======
ID#AAACEjuvXCY
tc={7aea761b-c70a-4305-bc59-1675137b4da1}    (2026-07-31 13:03:12)
[Threaded comment]
 Your version of Excel allows you to read this threaded comment; however, any edits to it will get removed if the file is opened in a newer version of Excel. Learn more: https://go.microsoft.com/fwlink/?linkid=870924
Comment:
	Valor da linha reduzido de R$ 80.000 para autuação do processo 2026-6LLDL
Reply:
	Valor da linha reduzido pela segunda vez de R$ 164.000 para autuação do processo 2026-34N11</t>
      </text>
    </comment>
    <comment authorId="0" ref="A886">
      <text>
        <t xml:space="preserve">======
ID#AAACEjuvXCw
tc={22e48828-1781-4d08-807b-eec558588e63}    (2026-07-31 13:03:12)
[Threaded comment]
 Your version of Excel allows you to read this threaded comment; however, any edits to it will get removed if the file is opened in a newer version of Excel. Learn more: https://go.microsoft.com/fwlink/?linkid=870924
Comment:
	Processo em andamento 2025-365TR</t>
      </text>
    </comment>
    <comment authorId="0" ref="A786">
      <text>
        <t xml:space="preserve">======
ID#AAACEjuvXCQ
tc={4b5b4713-2071-4299-b0f8-14817b68e845}    (2026-07-31 13:03:12)
[Threaded comment]
 Your version of Excel allows you to read this threaded comment; however, any edits to it will get removed if the file is opened in a newer version of Excel. Learn more: https://go.microsoft.com/fwlink/?linkid=870924
Comment:
	Processo em andamento 2025-365TR</t>
      </text>
    </comment>
  </commentList>
  <extLst>
    <ext uri="GoogleSheetsCustomDataVersion2">
      <go:sheetsCustomData xmlns:go="http://customooxmlschemas.google.com/" r:id="rId1" roundtripDataSignature="AMtx7mgpFcw858pChKiaExjgU/wDXXyJpg=="/>
    </ext>
  </extLst>
</comments>
</file>

<file path=xl/sharedStrings.xml><?xml version="1.0" encoding="utf-8"?>
<sst xmlns="http://schemas.openxmlformats.org/spreadsheetml/2006/main" count="21691" uniqueCount="2890">
  <si>
    <t>Orientações</t>
  </si>
  <si>
    <t>PCA</t>
  </si>
  <si>
    <t>ÓRGÃO OU ENTIDADE</t>
  </si>
  <si>
    <t>O que é o PCA?</t>
  </si>
  <si>
    <t>A Nova Lei de Licitações e Contratos (Lei nº 14.133/2021), no art. 12, VI, versa sobre a elaboração de um Plano de Contratações Anual (PCA), o qual, no âmbito estadual, foi regulamentado pelo Decreto nº 5.307-R/2023. Em suma, trata-se de uma ferramenta de planejamento das contratações públicas que abrange serviços, obras, locações e/ou compras, garantindo a integração ao planejamento estratégico e orçamentário das unidades.</t>
  </si>
  <si>
    <t>CBMES</t>
  </si>
  <si>
    <t>ÁREA RESPONSÁVEL PELA CONSOLIDAÇÃO</t>
  </si>
  <si>
    <t>CENTRO DE COMPRAS E MANUTENÇÃO</t>
  </si>
  <si>
    <t>Quais são os principais Objetivos da norma?</t>
  </si>
  <si>
    <t>Plano de Contratações Anual - Exercício 2026</t>
  </si>
  <si>
    <t>Art. 9º Compreendem objetivos do PCA:
I - racionalizar as contratações públicas;
II - garantir o alinhamento com o planejamento estratégico e outros instrumentos de governança existentes;
III - subsidiar a elaboração das leis orçamentárias;
IV - evitar o fracionamento de despesas; e
V - sinalizar intenções ao mercado fornecedor, de forma a aumentar o diálogo potencial com o mercado e incrementar a competitividade.
(DECRETO Nº 5307-R, DE 15 DE FEVEREIRO DE 2023)</t>
  </si>
  <si>
    <t>Quais são as principais Regras?</t>
  </si>
  <si>
    <r>
      <rPr>
        <rFont val="Arial"/>
        <color theme="1"/>
        <sz val="11.0"/>
      </rPr>
      <t>Cada órgão e entidade do Poder Executivo deverá elaborar, consolidar e aprovar, anualmente, seu respectivo PCA, contendo</t>
    </r>
    <r>
      <rPr>
        <rFont val="Arial"/>
        <b/>
        <color theme="1"/>
        <sz val="11.0"/>
      </rPr>
      <t xml:space="preserve"> todas as novas contratações e as renovações/prorrogações que pretende realizar no exercício seguinte ao de sua elaboração</t>
    </r>
    <r>
      <rPr>
        <rFont val="Arial"/>
        <color theme="1"/>
        <sz val="11.0"/>
      </rPr>
      <t>. Esse PCA necessitará ser publicado no site de cada Secretaria, inclusive quando a contratação ocorrer de forma Direta. Além disso, outra regra importante é a de que a fase preparatória das licitações deverá compatibilizar-se com o PCA.</t>
    </r>
  </si>
  <si>
    <t>DEMANDAS APROVADAS - COM VIABILIDADE ORÇAMENTÁRIA</t>
  </si>
  <si>
    <t>Quais são as exceções?</t>
  </si>
  <si>
    <t>Contratações em que haja informação sigilosas nos termos da legislação vigente; contratações e aquisições por meio de suprimento de fundos, nos termos da legislação; as pequenas compras e prestação de serviços de pronto pagamento, nos termos da Nova Lei de Licitação; e as contratações e aquisições com fulcro nos incisos VII e VIII do caput do art. 75 da Lei Federal 14.133/2021;</t>
  </si>
  <si>
    <t>TETO LOA</t>
  </si>
  <si>
    <t>3 - OUTRAS DESPESAS CORRENTES</t>
  </si>
  <si>
    <t>4 - INVESTIMENTOS</t>
  </si>
  <si>
    <t xml:space="preserve"> </t>
  </si>
  <si>
    <t>FUNREBOM</t>
  </si>
  <si>
    <t>Linha pca</t>
  </si>
  <si>
    <t>Setor Demandante</t>
  </si>
  <si>
    <t>Objeto Resumido</t>
  </si>
  <si>
    <t>Unidade de Medida</t>
  </si>
  <si>
    <t>Quantidade Estimada</t>
  </si>
  <si>
    <t>Estimativa preliminar do valor para 2026 (R$)</t>
  </si>
  <si>
    <t>Tipo de Contratação</t>
  </si>
  <si>
    <t>DATA PRETENDIDA PARA A AQUISIÇÃO</t>
  </si>
  <si>
    <t>Classificação orçamentária</t>
  </si>
  <si>
    <t>Fonte de Recursos</t>
  </si>
  <si>
    <t>Agente de contratação ou fiscal</t>
  </si>
  <si>
    <t>UG</t>
  </si>
  <si>
    <t>VERSÃO</t>
  </si>
  <si>
    <t>Prioridade</t>
  </si>
  <si>
    <t>N° DA CONTRATAÇÃO</t>
  </si>
  <si>
    <t>LINHA DO PCA</t>
  </si>
  <si>
    <t>NATUREZA DE DESPESA</t>
  </si>
  <si>
    <t>JUSTIFICATIVA DA NECESSIDADE</t>
  </si>
  <si>
    <t>EDOCS</t>
  </si>
  <si>
    <t>RESPONSÁVEL PELA DEMANDA</t>
  </si>
  <si>
    <t>DATA DE AUTUAÇÃO</t>
  </si>
  <si>
    <t>PRAZO PARA CONCLUSÃO DO ETP</t>
  </si>
  <si>
    <t>PRAZO PARA CONCLUSÃO DO TR</t>
  </si>
  <si>
    <t>PRAZO PARA CONCLUSÃO DO PROCESSAMENTO</t>
  </si>
  <si>
    <t>OBSERVAÇÕES</t>
  </si>
  <si>
    <t>STATUS</t>
  </si>
  <si>
    <t>FORMA DE AQUISIÇÃO</t>
  </si>
  <si>
    <t>MARCO TEMPORAL</t>
  </si>
  <si>
    <t>DEPMAT 2026</t>
  </si>
  <si>
    <t>Manutenção / Instalação / Montagem / Ampliação - Equipamen-tos de Telecomunicações - RADIO TELECOM</t>
  </si>
  <si>
    <t>UN</t>
  </si>
  <si>
    <t>CEPDEC</t>
  </si>
  <si>
    <t>NOVA</t>
  </si>
  <si>
    <t>90 - APLICAÇÕES DIRETAS</t>
  </si>
  <si>
    <t>39 - OUTROS SERVIÇOS DE TERCEIROS - PESSOA JURÍDICA</t>
  </si>
  <si>
    <t>RECURSOS VINCULADOS DO TESOURO</t>
  </si>
  <si>
    <t>CAP QOCBM GUILHERME MARTINELLI SCHULZ, NF 3693864;</t>
  </si>
  <si>
    <t>FUNPDEC</t>
  </si>
  <si>
    <t>SEM PREVISÃO</t>
  </si>
  <si>
    <t>166/2026</t>
  </si>
  <si>
    <t>Serviços Técnicos Profissionais</t>
  </si>
  <si>
    <t>DEPMAT</t>
  </si>
  <si>
    <t>CBMES 057</t>
  </si>
  <si>
    <t>1° CIA DO 3° BBM</t>
  </si>
  <si>
    <t>ABAFADOR DE INCENDIO FLORESTAL</t>
  </si>
  <si>
    <t>30 - MATERIAL DE CONSUMO</t>
  </si>
  <si>
    <t>RECURSOS DE CAIXA DO TESOURO</t>
  </si>
  <si>
    <t>1º TEN QOABM BRUNO DA SILVA BOREL, NF 903246</t>
  </si>
  <si>
    <t>VERSÃO 5 (PUBLICADO 28/07/2026)</t>
  </si>
  <si>
    <t>022/2026</t>
  </si>
  <si>
    <t>Material de Proteção e Segurança</t>
  </si>
  <si>
    <t>SEM AUTUAÇÃO</t>
  </si>
  <si>
    <t>DOP</t>
  </si>
  <si>
    <t>DRONE PARA COMBATE A INCÊNDIO</t>
  </si>
  <si>
    <t>2º TEN QOABM BRUNO SILVA BOREL, NF 903246;</t>
  </si>
  <si>
    <t>167/2026</t>
  </si>
  <si>
    <t>Aeronaves</t>
  </si>
  <si>
    <t>SETOR REQUISITANTE</t>
  </si>
  <si>
    <t>CBMES 064</t>
  </si>
  <si>
    <t>2° CIA DO 2° BBM</t>
  </si>
  <si>
    <t>6°BBM</t>
  </si>
  <si>
    <t>ASPIRADOR DE PÓ E AGUA</t>
  </si>
  <si>
    <t>52 - EQUIPAMENTOS E MATERIAL PERMANENTE</t>
  </si>
  <si>
    <t>CAP CAVACHINI/CAP SHULZ/TEN BOREL/TEN SONALY/GIULIANE</t>
  </si>
  <si>
    <t>168/2026</t>
  </si>
  <si>
    <t>Aparelhos e Utensílios Domésticos</t>
  </si>
  <si>
    <t>3° CIA IND</t>
  </si>
  <si>
    <t>LOCAÇÃO DE IMÓVEL PARA 3° CIA IND</t>
  </si>
  <si>
    <t>VERSÃO 5 (PUBLICADO 27/07/2026)</t>
  </si>
  <si>
    <t>CBMES 072</t>
  </si>
  <si>
    <t>1° CIA DO 5° BBM</t>
  </si>
  <si>
    <t>2° CIA DO 4° BBM</t>
  </si>
  <si>
    <t>CBMES 073</t>
  </si>
  <si>
    <t>4° CIA IND</t>
  </si>
  <si>
    <t>2° CIA IND</t>
  </si>
  <si>
    <t>ASPIRADOR DE PÓ E ÁGUA</t>
  </si>
  <si>
    <t>CBMES 074</t>
  </si>
  <si>
    <t>5° CIA IND</t>
  </si>
  <si>
    <t>CORREGEDORIA</t>
  </si>
  <si>
    <t>FUNPDEC 133</t>
  </si>
  <si>
    <t>CEIB</t>
  </si>
  <si>
    <t>FOGÃO 5 BOCAS COM FORNO AUTOLIMPANTE BIVOLT</t>
  </si>
  <si>
    <t>CBMES 119</t>
  </si>
  <si>
    <t>SERVIDORA CIVIL GIULIANE MOREIRA, NF 3031942</t>
  </si>
  <si>
    <t>1° BBM</t>
  </si>
  <si>
    <t>CBMES 120</t>
  </si>
  <si>
    <t>2° CIA DO 5° BBM</t>
  </si>
  <si>
    <t>CBMES 121</t>
  </si>
  <si>
    <t>PREFEITURA DEPMAT</t>
  </si>
  <si>
    <t>CBMES 270</t>
  </si>
  <si>
    <t>ABRAÇADEIRA PARA MANGOTE MATERIAL FITA</t>
  </si>
  <si>
    <t>SERVIDORA CIVIL ALESSANDRA SANT´ANNA RUFINO, NF 2956667</t>
  </si>
  <si>
    <t>044/2026</t>
  </si>
  <si>
    <t>Material Para Manutenção de Bens Móveis</t>
  </si>
  <si>
    <t>CBMES 338</t>
  </si>
  <si>
    <t>ACENDEDOR DE MAÇARICO</t>
  </si>
  <si>
    <t>CAP QOCBM GUILHERME MARTINELLI SCHULZ, NF 3693864</t>
  </si>
  <si>
    <t>010/2026</t>
  </si>
  <si>
    <t>CBMES 339</t>
  </si>
  <si>
    <t>FOGÃO ELÉTRICO A INDUÇÃO 2 BOCAS</t>
  </si>
  <si>
    <t>CBMES 102</t>
  </si>
  <si>
    <t>ACESSÓRIO EQUIPAMENTO DE SEGURANÇA (TRAVA QUEDAS)</t>
  </si>
  <si>
    <t>2° CIA DO 3° BBM</t>
  </si>
  <si>
    <t>064/2026</t>
  </si>
  <si>
    <t>FORNO ELETRICO RESIDENCIAL 60LF</t>
  </si>
  <si>
    <t>CBMES 086</t>
  </si>
  <si>
    <t>Acessório equipamento segurança (pranchão salvamento)</t>
  </si>
  <si>
    <t>050/2026</t>
  </si>
  <si>
    <t>FORNO MICROONDAS 34 LITROS 127V</t>
  </si>
  <si>
    <t>FUNPDEC 256</t>
  </si>
  <si>
    <t>ACESSÓRIOS, CABOS E CONECTORES (RADIOCOM)</t>
  </si>
  <si>
    <t>MAJ QOCBM MARCIO DA COSTA CAVACHINI, NF 2758512</t>
  </si>
  <si>
    <t>085/2026</t>
  </si>
  <si>
    <t>Material para Comunicações</t>
  </si>
  <si>
    <t>CBMES 029</t>
  </si>
  <si>
    <t>AJUDÂNCIA</t>
  </si>
  <si>
    <t>Açucar</t>
  </si>
  <si>
    <t>Pacote 5 kg</t>
  </si>
  <si>
    <t>012/2026</t>
  </si>
  <si>
    <t>Gêneros de Alimentação</t>
  </si>
  <si>
    <t>FUNPDEC 206</t>
  </si>
  <si>
    <t>ADAPTADOR ROSCA FEMEA 11 FPP 1.1/2 STORZ</t>
  </si>
  <si>
    <t>018/2026</t>
  </si>
  <si>
    <t>FUNPDEC 236</t>
  </si>
  <si>
    <t>ADAPTADOR STORZ TIPO ROSCA FEMEA FINA 2 1/2"</t>
  </si>
  <si>
    <t>CBMES 315</t>
  </si>
  <si>
    <t>ADAPTADOR TIPO FEMEA ROSCA STORZ 38</t>
  </si>
  <si>
    <t>DGP</t>
  </si>
  <si>
    <t>Climatizador</t>
  </si>
  <si>
    <t>169/2026</t>
  </si>
  <si>
    <t>FUNPDEC 108</t>
  </si>
  <si>
    <t>ADEQUAÇÃO DO VESTIÁRIO OPERACIONAL (EPI DE COMBATE A INCÊNDIO)</t>
  </si>
  <si>
    <t>096/2026</t>
  </si>
  <si>
    <t>Obras de Benfeitoria ou Melhoria</t>
  </si>
  <si>
    <t>CAT</t>
  </si>
  <si>
    <t>Freezer</t>
  </si>
  <si>
    <t>170/2026</t>
  </si>
  <si>
    <t>DEMANDAS SEM VIABILIDADE ORÇAMENTÁRIA</t>
  </si>
  <si>
    <t>FUNPDEC 038</t>
  </si>
  <si>
    <t>ADOBE</t>
  </si>
  <si>
    <t>40 - SERVIÇOS DE TECNOLOGIA DA INFORMAÇÃO E COMUNICAÇÃO - PESSOA JURÍDICA</t>
  </si>
  <si>
    <t>ASCOM</t>
  </si>
  <si>
    <t>FRIGOBAR 120l</t>
  </si>
  <si>
    <t>TI: Locações de Softwares</t>
  </si>
  <si>
    <t>FUNPDEC 056</t>
  </si>
  <si>
    <t>Adobe creative</t>
  </si>
  <si>
    <t>2º TEN QOABM SONALY WESLENY DE FÁTIMA DA SILVA RIBEIRO, NF 903842</t>
  </si>
  <si>
    <t>CBMES 036</t>
  </si>
  <si>
    <t>Adoçante SUCRALOSE</t>
  </si>
  <si>
    <t>Frasco 100 mL</t>
  </si>
  <si>
    <t>1° CIA IND</t>
  </si>
  <si>
    <t>2° BBM</t>
  </si>
  <si>
    <t>CBMES 253</t>
  </si>
  <si>
    <t>PREFEITURA DAL</t>
  </si>
  <si>
    <t>adubo quimico</t>
  </si>
  <si>
    <t>055/2026</t>
  </si>
  <si>
    <t>Material Químico</t>
  </si>
  <si>
    <t>CBMES 261</t>
  </si>
  <si>
    <t>AFIADOR/AMOLADOR DE CORRENTE DE BANCADA 110 VOLTS</t>
  </si>
  <si>
    <t>057/2026</t>
  </si>
  <si>
    <t>Ferramentas</t>
  </si>
  <si>
    <t>GELADEIRA 590L</t>
  </si>
  <si>
    <t>FUNREBOM 120</t>
  </si>
  <si>
    <t>ALMOXARIFADO</t>
  </si>
  <si>
    <t>AGUA OXIGENADA</t>
  </si>
  <si>
    <t>043/2026</t>
  </si>
  <si>
    <t>Material de Limpeza e Produção de Higienização</t>
  </si>
  <si>
    <t>Geladeira frost free 375L</t>
  </si>
  <si>
    <t>FUNREBOM 152</t>
  </si>
  <si>
    <t>AGUA SANITARIA</t>
  </si>
  <si>
    <t>007/2026</t>
  </si>
  <si>
    <t>Refrigerador Duplex</t>
  </si>
  <si>
    <t>autocratn</t>
  </si>
  <si>
    <t>autocratp</t>
  </si>
  <si>
    <t>dataSheetName</t>
  </si>
  <si>
    <t>"PCA 2026 - POR ITENS"</t>
  </si>
  <si>
    <t>RECURSOS EXTRAORÇAMENTÁRIOS</t>
  </si>
  <si>
    <t>v</t>
  </si>
  <si>
    <t>"5.1"</t>
  </si>
  <si>
    <t>dataSheetId</t>
  </si>
  <si>
    <t>"1.33615881E9"</t>
  </si>
  <si>
    <t>updateTime</t>
  </si>
  <si>
    <t>"1.780343295412E12"</t>
  </si>
  <si>
    <t>vp</t>
  </si>
  <si>
    <t>ssId</t>
  </si>
  <si>
    <t>"1DB9rNFUSsSKror-IT1kF6VmX8yiBCkGpWDZ0pY9RVm4"</t>
  </si>
  <si>
    <t>FUNREBOM 363</t>
  </si>
  <si>
    <t>Air Fryer 4L</t>
  </si>
  <si>
    <t>Job ID</t>
  </si>
  <si>
    <t>Job Name</t>
  </si>
  <si>
    <t>Template ID</t>
  </si>
  <si>
    <t>Data Sheet ID</t>
  </si>
  <si>
    <t>Header Row</t>
  </si>
  <si>
    <t>023/2026</t>
  </si>
  <si>
    <t>First Data Row</t>
  </si>
  <si>
    <t>File Name</t>
  </si>
  <si>
    <t>Eletrodomésticos</t>
  </si>
  <si>
    <t>File Type</t>
  </si>
  <si>
    <t>Share As</t>
  </si>
  <si>
    <t>Folders</t>
  </si>
  <si>
    <t>Dynamic Folder Reference</t>
  </si>
  <si>
    <t>Conditionals</t>
  </si>
  <si>
    <t>Mode</t>
  </si>
  <si>
    <t>Append Breaks</t>
  </si>
  <si>
    <t>Tags</t>
  </si>
  <si>
    <t>Run On Time Trigger</t>
  </si>
  <si>
    <t>Time Trigger Frequency</t>
  </si>
  <si>
    <t>Run On Form Trigger</t>
  </si>
  <si>
    <t>Send Email And Share</t>
  </si>
  <si>
    <t>GBENS</t>
  </si>
  <si>
    <t>Email To</t>
  </si>
  <si>
    <t>Refrigerador Duplex 480L</t>
  </si>
  <si>
    <t>Email CC</t>
  </si>
  <si>
    <t>Email BCC</t>
  </si>
  <si>
    <t>Email Reply To</t>
  </si>
  <si>
    <t>Email No Reply</t>
  </si>
  <si>
    <t>Email Subject</t>
  </si>
  <si>
    <t>Email Body</t>
  </si>
  <si>
    <t>Prevent Resharing</t>
  </si>
  <si>
    <t>Time Trigger Timestamp</t>
  </si>
  <si>
    <t>Form Trigger Timestamp</t>
  </si>
  <si>
    <t>_1768247563945</t>
  </si>
  <si>
    <t>DFD</t>
  </si>
  <si>
    <t>1jNL-NsbKgsSKTD1wkxdr7ob7teknMYgsy5wx0XSKh3I</t>
  </si>
  <si>
    <t>&lt;&lt;N° DA CONTRATAÇÃO&gt;&gt; - &lt;&lt;PROCESSO ADMINISTRATIVO&gt;&gt; - &lt;&lt;Descrição sucinta do objeto&gt;&gt;</t>
  </si>
  <si>
    <t>GOOG_DOC</t>
  </si>
  <si>
    <t>EDITABLE</t>
  </si>
  <si>
    <t>["1RQR6UGKsk5DI1LFCfImg4Xbh1P2D8Qvl"]</t>
  </si>
  <si>
    <t>[]</t>
  </si>
  <si>
    <t>MULTIPLE_OUTPUT</t>
  </si>
  <si>
    <t>[{"tag":"NUMERO_CONTRATACAO","type":"STANDARD","details":{"isUnmapped":false,"headerMap":"N° DA CONTRATAÇÃO"}},{"tag":"PROCESSO_ADMINISTRATIVO","type":"STANDARD","details":{"isUnmapped":false,"headerMap":"PROCESSO ADMINISTRATIVO"}},{"tag":"EDITADO_POR","type":"STANDARD","details":{"isUnmapped":false,"headerMap":"EDITADO POR"}},{"tag":"data_de_hoje","type":"STANDARD","details":{"isUnmapped":false,"headerMap":"DATA DE HOJE"}},{"tag":"responsavel_pela_demanda","type":"STANDARD","details":{"isUnmapped":false,"headerMap":"RESPONSÁVEL PELA DEMANDA"}},{"tag":"data_pretendida_pela_aquisicao","type":"STANDARD","details":{"isUnmapped":false,"headerMap":"DATA PRETENDIDA PARA CONCLUSÃO DA CONTRATAÇÃO"}},{"tag":"descricao_do_objeto","type":"STANDARD","details":{"isUnmapped":false,"headerMap":"Descrição sucinta do objeto"}},{"tag":"justificativa_da_necessidade","type":"STANDARD","details":{"isUnmapped":false,"headerMap":"Justificativa da necessidade"}},{"tag":"VALOR_ESTIMADO","type":"STANDARD","details":{"isUnmapped":false,"headerMap":"valor total"}},{"tag":"data_pretendida_PARAOESTUDOTECNICO","type":"STANDARD","details":{"isUnmapped":false,"headerMap":"Prazo para conclusão DO ETP (CASO A AQUISIÇÃO SEJA COMPRA DIRETA, ESCREVER NESTE CAMPO \"DISPENSADO\")"}},{"tag":"data_pretendida_PARAOTR","type":"STANDARD","details":{"isUnmapped":false,"headerMap":"Prazo para conclusão do TR "}}]</t>
  </si>
  <si>
    <t>2026-07-30T13:58:47.653Z</t>
  </si>
  <si>
    <t>FRITADEIRA AIRFRYER 5 LITROS</t>
  </si>
  <si>
    <t>171/2026</t>
  </si>
  <si>
    <t>FUNPDEC 173</t>
  </si>
  <si>
    <t>ALAVANCA SEXTAVADA</t>
  </si>
  <si>
    <t>FUNREBOM 117</t>
  </si>
  <si>
    <t>ALCOOL 70</t>
  </si>
  <si>
    <t>029/2026</t>
  </si>
  <si>
    <t>CBMES 332</t>
  </si>
  <si>
    <t>frasco 500ml</t>
  </si>
  <si>
    <t>FUNREBOM 154</t>
  </si>
  <si>
    <t>ALCOOL EM GEL</t>
  </si>
  <si>
    <t>031/2026</t>
  </si>
  <si>
    <t>CBMES 309</t>
  </si>
  <si>
    <t>Algodão Uso Médico Hidrófilo Em Bolas</t>
  </si>
  <si>
    <t>pacote 100g</t>
  </si>
  <si>
    <t>035/2026</t>
  </si>
  <si>
    <t>Material Hospitalar</t>
  </si>
  <si>
    <t>Máquina Café</t>
  </si>
  <si>
    <t>FUNPDEC 215</t>
  </si>
  <si>
    <t>ALICATE CORTA FRIO 30"</t>
  </si>
  <si>
    <t>FUNPDEC 116</t>
  </si>
  <si>
    <t>Almofada pneumatica contenção de vazamentos</t>
  </si>
  <si>
    <t>074/2026</t>
  </si>
  <si>
    <t>FUNREBOM 014</t>
  </si>
  <si>
    <t>MATERIAL BÉLICO</t>
  </si>
  <si>
    <t>Alvo Silhueta Humanoide Colt Com Garrafão</t>
  </si>
  <si>
    <t>048/2026</t>
  </si>
  <si>
    <t>GPC</t>
  </si>
  <si>
    <t>FUNPDEC 252</t>
  </si>
  <si>
    <t>ANTENAS</t>
  </si>
  <si>
    <t>PURIFICADOR DE ÁGUA</t>
  </si>
  <si>
    <t>FUNREBOM 272</t>
  </si>
  <si>
    <t>APAGADOR</t>
  </si>
  <si>
    <t>Almoxarifado Virtual</t>
  </si>
  <si>
    <t>Material de Expediente</t>
  </si>
  <si>
    <t>CONTRATO VIGENTE</t>
  </si>
  <si>
    <t>FUNREBOM 015</t>
  </si>
  <si>
    <t>Aparelho Ar Condicionado</t>
  </si>
  <si>
    <t>103/2026</t>
  </si>
  <si>
    <t>FOGÃO INDUSTRIAL 4 BOCAS</t>
  </si>
  <si>
    <t>172/2026</t>
  </si>
  <si>
    <t>possivel arp do incaper para adesão - verificado no dia 22/12/2025 - cpl - 2025-B2QZ7</t>
  </si>
  <si>
    <t>FUNREBOM 020</t>
  </si>
  <si>
    <t>FOGÃO INDUSTRIAL 6 BOCAS</t>
  </si>
  <si>
    <t>FUNREBOM 024</t>
  </si>
  <si>
    <t>LIQUIDIFICADOR INDUSTRIAL 4l</t>
  </si>
  <si>
    <t>FUNREBOM 019</t>
  </si>
  <si>
    <t>Aparelho Ar Condicionado SPLIT - 12000 BTU</t>
  </si>
  <si>
    <t>Bebedouro Água 50L</t>
  </si>
  <si>
    <t>Máquinas, Utensílios e Equipamentos Diversos</t>
  </si>
  <si>
    <t>FUNREBOM 038</t>
  </si>
  <si>
    <t>FUNREBOM 022</t>
  </si>
  <si>
    <t>MÁQUINA LAVA E SECA ROUPAS 220V 12KG</t>
  </si>
  <si>
    <t>173/2026</t>
  </si>
  <si>
    <t>FUNREBOM 017</t>
  </si>
  <si>
    <t>Aparelho Ar Condicionado SPLIT - 18000 BTU</t>
  </si>
  <si>
    <t>MICROONDAS 34l</t>
  </si>
  <si>
    <t>FUNREBOM 027</t>
  </si>
  <si>
    <t>FUNREBOM 037</t>
  </si>
  <si>
    <t>Aparelho Ar Condicionado SPLIT - 24000 BTU</t>
  </si>
  <si>
    <t>Microondas 35 L</t>
  </si>
  <si>
    <t>FUNREBOM 018</t>
  </si>
  <si>
    <t>FUNREBOM 016</t>
  </si>
  <si>
    <t>Aparelho Ar Condicionado SPLIT - 36000 BTU</t>
  </si>
  <si>
    <t>tv smart 55"</t>
  </si>
  <si>
    <t>FUNREBOM 021</t>
  </si>
  <si>
    <t>Ventilador de parede</t>
  </si>
  <si>
    <t>FUNREBOM 023</t>
  </si>
  <si>
    <t>Aparelho Ar Condicionado SPLIT - 9000 BTU</t>
  </si>
  <si>
    <t>Televisor</t>
  </si>
  <si>
    <t>Equipamentos Para Áudio, Vídeo e Foto</t>
  </si>
  <si>
    <t>CBMES 087</t>
  </si>
  <si>
    <t>APARELHO DE POÇO</t>
  </si>
  <si>
    <t>065/2026</t>
  </si>
  <si>
    <t>AUTO ESCADA MECÂNICA</t>
  </si>
  <si>
    <t>CBMES 275</t>
  </si>
  <si>
    <t>Aparelho fisioterapia respiratória (Respiron)</t>
  </si>
  <si>
    <t>Aquisição de Frota para o CBMES</t>
  </si>
  <si>
    <t>047/2026</t>
  </si>
  <si>
    <t>MICRO-ÔNIBUS</t>
  </si>
  <si>
    <t>CBMES 281</t>
  </si>
  <si>
    <t>Aparelho fisioterapia respiratória (Shaker)</t>
  </si>
  <si>
    <t>SOPRADOR</t>
  </si>
  <si>
    <t>175/2026</t>
  </si>
  <si>
    <t>2026-DJNSB</t>
  </si>
  <si>
    <t>BOMBA DE SUCÇÃO</t>
  </si>
  <si>
    <t>FUNPDEC 198</t>
  </si>
  <si>
    <t>APARELHO HGT</t>
  </si>
  <si>
    <t>MOTOBOMBA</t>
  </si>
  <si>
    <t>017/2026</t>
  </si>
  <si>
    <t>MANGUEIRAS PARA INCÊNDIOS FLORESTAIS</t>
  </si>
  <si>
    <t>Reboque - Plataforma (mergulho)</t>
  </si>
  <si>
    <t>CBMES 163</t>
  </si>
  <si>
    <t>Aparelho infravermelho</t>
  </si>
  <si>
    <t>REBOQUE PARA MOTO AQUÁTICA</t>
  </si>
  <si>
    <t>178/2026</t>
  </si>
  <si>
    <t>FUNPDEC 164</t>
  </si>
  <si>
    <t>APITO FOX 40</t>
  </si>
  <si>
    <t>033/2026</t>
  </si>
  <si>
    <t>CBMES 250</t>
  </si>
  <si>
    <t>CBMES 249</t>
  </si>
  <si>
    <t>FUNPDEC 175</t>
  </si>
  <si>
    <t>CERD</t>
  </si>
  <si>
    <t>FUNREBOM 364</t>
  </si>
  <si>
    <t>APONTADOR PLASTICO PARA LAPIS</t>
  </si>
  <si>
    <t>VIATURA ABTS</t>
  </si>
  <si>
    <t>VIATURA - RESGATE</t>
  </si>
  <si>
    <t>FUNPDEC 002</t>
  </si>
  <si>
    <t>MERGULHO</t>
  </si>
  <si>
    <t>AQUISIÇÃO DE BALSA DE SALVAMENTO</t>
  </si>
  <si>
    <t>1º TEN QOABM JOSEMAR DE OLIVEIRA BENTO, NF 2598264</t>
  </si>
  <si>
    <t>Embarcações</t>
  </si>
  <si>
    <t xml:space="preserve">2025-19TC1 </t>
  </si>
  <si>
    <t>VIATURA AMBULANCIA APOIO SERVIÇO SOCIAL</t>
  </si>
  <si>
    <t>FUNREBOM 065</t>
  </si>
  <si>
    <t>Aquisição de braçadeira infantil para aparelho de pressão</t>
  </si>
  <si>
    <t>2025-HGV3D</t>
  </si>
  <si>
    <t>CBMES 352</t>
  </si>
  <si>
    <t>Aquisição de canil modular</t>
  </si>
  <si>
    <t>99 - A CLASSIFICAR</t>
  </si>
  <si>
    <t>Material de Consumo Geral</t>
  </si>
  <si>
    <t xml:space="preserve">2025-3NZMD </t>
  </si>
  <si>
    <t>FUNREBOM 036</t>
  </si>
  <si>
    <t>AQUISIÇÃO DE EQUIPAMENTOS DE COMUNICAÇÃO</t>
  </si>
  <si>
    <t>084/2026</t>
  </si>
  <si>
    <t>Capacitação - Treinamento Qualificação Profissional</t>
  </si>
  <si>
    <t>Equipamentos de Radiocomunicação</t>
  </si>
  <si>
    <t>15 - DIÁRIAS -  MILITAR</t>
  </si>
  <si>
    <t>183/2026</t>
  </si>
  <si>
    <t>Cursos e Diárias</t>
  </si>
  <si>
    <t>FUNREBOM 409</t>
  </si>
  <si>
    <t>Aquisição de filtros para Compressor COLTRI</t>
  </si>
  <si>
    <t>089/2026</t>
  </si>
  <si>
    <t>PERÍCIA</t>
  </si>
  <si>
    <t>CAPACITAÇÃO EM INVESTIGAÇÃO DE INCÊNDIO EM SISTEMAS ELÉTRICOS</t>
  </si>
  <si>
    <t>184/2026</t>
  </si>
  <si>
    <t>FUNPDEC 001</t>
  </si>
  <si>
    <t>Aquisição de gravador de Voz inteligente</t>
  </si>
  <si>
    <t xml:space="preserve">2025-7Z6GN </t>
  </si>
  <si>
    <t>Capacitação em Recursos Humanos</t>
  </si>
  <si>
    <t>185/2026</t>
  </si>
  <si>
    <t>FUNPDEC 043</t>
  </si>
  <si>
    <t>AQUISIÇÃO DE KIT PERMANENCIA PARA ATENDER AS NECESSIDADES DO CERD</t>
  </si>
  <si>
    <t>3º SGT THIAGO COELHO DA SILVA, NF 2946726</t>
  </si>
  <si>
    <t xml:space="preserve">2025-D5KT7 </t>
  </si>
  <si>
    <t>FUNREBOM 447</t>
  </si>
  <si>
    <t>Aquisição de lona para o tatame</t>
  </si>
  <si>
    <t>GTI 2026</t>
  </si>
  <si>
    <t>Capacitação em TI</t>
  </si>
  <si>
    <t>Material de Construção</t>
  </si>
  <si>
    <t>186/2026</t>
  </si>
  <si>
    <t>FUNREBOM 066</t>
  </si>
  <si>
    <t>AQUISIÇÃO DE MACACAO PARA SERVIÇO DE MANUTENÇÃO (RIP STOP)</t>
  </si>
  <si>
    <t>CURSO RESGATE VERTICAL DE ALTO NÍVEL - NÍVEL COORDENADOR - CURSO SEMIPRESENCIAL</t>
  </si>
  <si>
    <t>2025-G7L30</t>
  </si>
  <si>
    <t>187/2026</t>
  </si>
  <si>
    <t>ALMOXARIFADO GERAL</t>
  </si>
  <si>
    <t>2026-G9BZS</t>
  </si>
  <si>
    <t>FUNPDEC 283</t>
  </si>
  <si>
    <t>AQUISIÇÃO DE MATERIAIS DE CAMPANHA - CERD</t>
  </si>
  <si>
    <t>2025-VF4J9</t>
  </si>
  <si>
    <t>Pagamento Inscrição Eventos (Seminarios, cursos, e outros)</t>
  </si>
  <si>
    <t>188/2026</t>
  </si>
  <si>
    <t>Aquisição de peças para Motomecanizado</t>
  </si>
  <si>
    <t>274/2026</t>
  </si>
  <si>
    <t>2026-CDT5G</t>
  </si>
  <si>
    <t>FUNREBOM 092</t>
  </si>
  <si>
    <t>AQUISICAO DE REFIL PARA PURIFICADOR DE AGUA</t>
  </si>
  <si>
    <t>2025-7QLP2</t>
  </si>
  <si>
    <t>CBMES 010</t>
  </si>
  <si>
    <t>1ª CIA DO 5º BBM</t>
  </si>
  <si>
    <t>Aquisição de refrigerador e fogão</t>
  </si>
  <si>
    <t>2025-M4QKB</t>
  </si>
  <si>
    <t>1º CIA DO 5º BBM</t>
  </si>
  <si>
    <t>GEA 2026</t>
  </si>
  <si>
    <t>Construção das coberturas de garagem das Unidades Padrão</t>
  </si>
  <si>
    <t>51 - OBRAS E INSTALAÇÕES</t>
  </si>
  <si>
    <t>191/2026</t>
  </si>
  <si>
    <t>Edificações</t>
  </si>
  <si>
    <t>FUNREBOM 010</t>
  </si>
  <si>
    <t>AQUISIÇÃO DE TI</t>
  </si>
  <si>
    <t>114/2026</t>
  </si>
  <si>
    <t>TI - Equipamentos de Processamento de Dados</t>
  </si>
  <si>
    <t>Continuidade contratação de projeto complementares novo complexo do administrativo do comando geral</t>
  </si>
  <si>
    <t>EXISTENTE A SER RENOVADA</t>
  </si>
  <si>
    <t>192/2026</t>
  </si>
  <si>
    <t>FUNREBOM 012</t>
  </si>
  <si>
    <t>Cilindro de fuga completo com máscara</t>
  </si>
  <si>
    <t>193/2026</t>
  </si>
  <si>
    <t>Equipamento de Proteção, Segurança e Socorro</t>
  </si>
  <si>
    <t>CILINDRO DE GÁS PARA DETECTOR MSA</t>
  </si>
  <si>
    <t>AQUISIÇÃO DE TI: AQUISIÇÃO DE LICENÇA OFFICE</t>
  </si>
  <si>
    <t>R$ 164.000,00</t>
  </si>
  <si>
    <t>265/2026</t>
  </si>
  <si>
    <t>DETECTOR DE GAS</t>
  </si>
  <si>
    <t>2º TEN QOABM LEONARDO LUIZ FADINI, NF 903271;</t>
  </si>
  <si>
    <t>FUNREBOM 034</t>
  </si>
  <si>
    <t>AQUISIÇÃO DE VIATURAS E ACESSÓRIOS</t>
  </si>
  <si>
    <t>146/2026</t>
  </si>
  <si>
    <t>Aquisição de viaturas e acessórios</t>
  </si>
  <si>
    <t>DETECTOR DE GÁS</t>
  </si>
  <si>
    <t>FUNREBOM 091</t>
  </si>
  <si>
    <t>Aquisição de video monitoramento</t>
  </si>
  <si>
    <t>2025-X5N8K</t>
  </si>
  <si>
    <t>FUNPDEC 042</t>
  </si>
  <si>
    <t>Aquisição Ring Light - CEPDEC</t>
  </si>
  <si>
    <t>DETECTOR MULTIGASES PORTATIL</t>
  </si>
  <si>
    <t xml:space="preserve">2025-T3BN4 </t>
  </si>
  <si>
    <t>FUNPDEC 032</t>
  </si>
  <si>
    <t>AR CONDICIONADO</t>
  </si>
  <si>
    <t>FUNREBOM 086</t>
  </si>
  <si>
    <t>SCC</t>
  </si>
  <si>
    <t>Ar condicionado - manutenção de aparelhos de parede - GRANDE VITÓRIA</t>
  </si>
  <si>
    <t>2º TEN QOABM  RR DELCYR MUNALDI FLORES, NF 900993</t>
  </si>
  <si>
    <t>CONTRATO</t>
  </si>
  <si>
    <t>ESTAÇÃO BUMPTEST MSA</t>
  </si>
  <si>
    <t>FUNREBOM 073</t>
  </si>
  <si>
    <t>Ar condicionado - manutenção de aparelhos de parede - NORTE</t>
  </si>
  <si>
    <t>104/2026</t>
  </si>
  <si>
    <t>DRONE</t>
  </si>
  <si>
    <t>194/2026</t>
  </si>
  <si>
    <t>FUNREBOM 061</t>
  </si>
  <si>
    <t>Ar condicionado - manutenção de aparelhos de parede - SUL</t>
  </si>
  <si>
    <t xml:space="preserve">2025-X6S10 </t>
  </si>
  <si>
    <t>FUNREBOM 388</t>
  </si>
  <si>
    <t>areia</t>
  </si>
  <si>
    <t>CAÇAMBA</t>
  </si>
  <si>
    <t>FUNREBOM 391</t>
  </si>
  <si>
    <t>Computador de mergulho</t>
  </si>
  <si>
    <t>195/2026</t>
  </si>
  <si>
    <t>FUNPDEC 018</t>
  </si>
  <si>
    <t>Armario gradeado para colocação de roupa de aproximação</t>
  </si>
  <si>
    <t>Manômetro submersível console duplo</t>
  </si>
  <si>
    <t>196/2026</t>
  </si>
  <si>
    <t>FUNREBOM 032</t>
  </si>
  <si>
    <t>Máscara de mergulho Full Face</t>
  </si>
  <si>
    <t>FUNREBOM 109</t>
  </si>
  <si>
    <t>ASPIRADOR MANUAL</t>
  </si>
  <si>
    <t>038/2026</t>
  </si>
  <si>
    <t>Chave Comutadora</t>
  </si>
  <si>
    <t>FUNPDEC 028</t>
  </si>
  <si>
    <t>Capuz de Neoprene</t>
  </si>
  <si>
    <t>FUNPDEC 015</t>
  </si>
  <si>
    <t>ASPIRADOR/SOPRADOR A BATERIA</t>
  </si>
  <si>
    <t>197/2026</t>
  </si>
  <si>
    <t>Luva Borracha</t>
  </si>
  <si>
    <t>03 - PENSÕES DO RPPS E DO MILITAR</t>
  </si>
  <si>
    <t>SERVIDORA CIVIL GIULIANE MOREIRA, NF 3031942;</t>
  </si>
  <si>
    <t>FUNREBOM 206</t>
  </si>
  <si>
    <t>ASSENTO SANITÁRIO PARA VASO</t>
  </si>
  <si>
    <t>Material Para Manutenção de Bens Imóveis</t>
  </si>
  <si>
    <t>Máscara de mergulho</t>
  </si>
  <si>
    <t xml:space="preserve">Assinatura de serviço do PLAUD </t>
  </si>
  <si>
    <t>TI - Locações / Aquisição de Softwares</t>
  </si>
  <si>
    <t>Peças / acessórios equipamentos especializados</t>
  </si>
  <si>
    <t>198/2026</t>
  </si>
  <si>
    <t>FUNREBOM 140</t>
  </si>
  <si>
    <t>ATADURA 10CM</t>
  </si>
  <si>
    <t>Selante</t>
  </si>
  <si>
    <t>FUNREBOM 126</t>
  </si>
  <si>
    <t>ATADURA 15CM</t>
  </si>
  <si>
    <t>Pintura Industrial</t>
  </si>
  <si>
    <t>2º TEN QOABM SONALY WESLENY DE FÁTIMA DA SILVA RIBEIRO, NF 903842;</t>
  </si>
  <si>
    <t>FUNREBOM 124</t>
  </si>
  <si>
    <t>ATADURA 20CM</t>
  </si>
  <si>
    <t>Pulverizador</t>
  </si>
  <si>
    <t>FUNREBOM 075</t>
  </si>
  <si>
    <t>AUTOMATIZAÇÃO DE PORTÃO - INSTALAÇÃO / MANUTENÇÃO</t>
  </si>
  <si>
    <t>053/2026</t>
  </si>
  <si>
    <t>Detector Metais</t>
  </si>
  <si>
    <t>199/2026</t>
  </si>
  <si>
    <t>FUNREBOM 080</t>
  </si>
  <si>
    <t>Fone Ouvido</t>
  </si>
  <si>
    <t>FUNREBOM 223</t>
  </si>
  <si>
    <t>AVENTAL PARA EXPURGO</t>
  </si>
  <si>
    <t>Conjunto Escolar Cja-06</t>
  </si>
  <si>
    <t>Conjunto</t>
  </si>
  <si>
    <t>200/2026</t>
  </si>
  <si>
    <t>Mobiliário em Geral</t>
  </si>
  <si>
    <t>FUNPDEC 248</t>
  </si>
  <si>
    <t>BALDE DE AÇO GALVANIZADO 10L</t>
  </si>
  <si>
    <t>030/2026</t>
  </si>
  <si>
    <t>CADEIRA ESCOLAR</t>
  </si>
  <si>
    <t>FUNREBOM 230</t>
  </si>
  <si>
    <t>BALDE PLASTICO 10 L</t>
  </si>
  <si>
    <t>DESFIBRILADOR EXTERNO AUTOMÁTICO</t>
  </si>
  <si>
    <t>201/2026</t>
  </si>
  <si>
    <t>FUNPDEC 023</t>
  </si>
  <si>
    <t>BANCADA PARA OFICINA 200X80 CM</t>
  </si>
  <si>
    <t>KIT OXIGENAÇÃO 02</t>
  </si>
  <si>
    <t>205/2026</t>
  </si>
  <si>
    <t>KIT PARA COLETA DE EVIDÊNCIAS DE INCÊNDIO</t>
  </si>
  <si>
    <t>CBMES 019</t>
  </si>
  <si>
    <t>Banco Dados Informações - Comerciais / Cadastrais / Técnicas - BANCO DE PREÇO</t>
  </si>
  <si>
    <t>206/2026</t>
  </si>
  <si>
    <t>36 - OUTROS SERVIÇOS DE TERCEIROS - PESSOA FÍSICA</t>
  </si>
  <si>
    <t>RADIO COMUNICADOR HT</t>
  </si>
  <si>
    <t>207/2026</t>
  </si>
  <si>
    <t>FUNPDEC 039</t>
  </si>
  <si>
    <t>BANCO DE PREÇO</t>
  </si>
  <si>
    <t>CBMES 346</t>
  </si>
  <si>
    <t>Bandagem de Crepom (10cm)</t>
  </si>
  <si>
    <t>RÁDIO MÓVEL</t>
  </si>
  <si>
    <t>CBMES 236</t>
  </si>
  <si>
    <t>Bandagem elástica</t>
  </si>
  <si>
    <t>CAPA PARA RADIO HT</t>
  </si>
  <si>
    <t>CARREGADOR PARA BATERIAS VEICULAR</t>
  </si>
  <si>
    <t>208/2026</t>
  </si>
  <si>
    <t>Equipamentos e Utensílios Hidráulicos e Elétricos</t>
  </si>
  <si>
    <t>FUNREBOM 148</t>
  </si>
  <si>
    <t>BANDEIRA DAS COMPANHIAS</t>
  </si>
  <si>
    <t>059/2026</t>
  </si>
  <si>
    <t xml:space="preserve">Bandeiras, Flâmulas e Insígnias </t>
  </si>
  <si>
    <t>FUNREBOM 127</t>
  </si>
  <si>
    <t>BANDEIRA DO BRASIL</t>
  </si>
  <si>
    <t>Lavadora Alta Pressão profissional</t>
  </si>
  <si>
    <t>209/2026</t>
  </si>
  <si>
    <t>FUNREBOM 279</t>
  </si>
  <si>
    <t>BANDEIRA DO COMANDO GERAL</t>
  </si>
  <si>
    <t>FUNREBOM 128</t>
  </si>
  <si>
    <t>BANDEIRA DO ESPIRITO SANTO</t>
  </si>
  <si>
    <t>CBMES 296</t>
  </si>
  <si>
    <t>Bandeja Aço Inoxidável</t>
  </si>
  <si>
    <t>046/2026</t>
  </si>
  <si>
    <t>Material de Copa e Cozinha</t>
  </si>
  <si>
    <t>Apresentador Multimídia (passador de slides com laser)</t>
  </si>
  <si>
    <t>211/2026</t>
  </si>
  <si>
    <t>CBMES 330</t>
  </si>
  <si>
    <t>Bandeja Plástica Cor Branca - Dimensões: 29 X 44 X 9 CM</t>
  </si>
  <si>
    <t>PROJETOR MULTIMIDIA</t>
  </si>
  <si>
    <t>FUNREBOM 332</t>
  </si>
  <si>
    <t>BARBANTE</t>
  </si>
  <si>
    <t>TABLET</t>
  </si>
  <si>
    <t>CBMES 096</t>
  </si>
  <si>
    <t>Barraca de Acampamento</t>
  </si>
  <si>
    <t>Caixa Acústica</t>
  </si>
  <si>
    <t>212/2026</t>
  </si>
  <si>
    <t>CBMES 097</t>
  </si>
  <si>
    <t>CBMES 128</t>
  </si>
  <si>
    <t>CBMES 129</t>
  </si>
  <si>
    <t>CBMES 179</t>
  </si>
  <si>
    <t>CBMES 180</t>
  </si>
  <si>
    <t>Caixa Som</t>
  </si>
  <si>
    <t>CBMES 167</t>
  </si>
  <si>
    <t>BARRIGUEIRA PARA ANIMAL</t>
  </si>
  <si>
    <t>CBMES 168</t>
  </si>
  <si>
    <t>CBMES 183</t>
  </si>
  <si>
    <t>Mesa Áudio / Vídeo</t>
  </si>
  <si>
    <t>CBMES 223</t>
  </si>
  <si>
    <t>1° CIA DO 4° BBM</t>
  </si>
  <si>
    <t>MICROFONE</t>
  </si>
  <si>
    <t>FUNREBOM 181</t>
  </si>
  <si>
    <t>BASE DIVISÓRIA PARA BANHEIRO DE CB/SD MASCULINO</t>
  </si>
  <si>
    <t>088/2026</t>
  </si>
  <si>
    <t>MICROFONE DE MESA</t>
  </si>
  <si>
    <t>FUNREBOM 182</t>
  </si>
  <si>
    <t>Microfone sem fio</t>
  </si>
  <si>
    <t>FUNPDEC 255</t>
  </si>
  <si>
    <t>BATERIA ESTACIONÁRIA ALTA CAPACIDADE</t>
  </si>
  <si>
    <t>Rack para mesa de som</t>
  </si>
  <si>
    <t>CBMES 091</t>
  </si>
  <si>
    <t>BATERIA PARA DRONE DJI MAVIC 2 PRO</t>
  </si>
  <si>
    <t>067/2026</t>
  </si>
  <si>
    <t>Material Elétrico / Energia</t>
  </si>
  <si>
    <t>CAMERA DE BUSCA</t>
  </si>
  <si>
    <t>213/2026</t>
  </si>
  <si>
    <t>FUNREBOM 007</t>
  </si>
  <si>
    <t>Baterias estacionarias</t>
  </si>
  <si>
    <t>052/2026</t>
  </si>
  <si>
    <t>CÂMERA TÉRMICA</t>
  </si>
  <si>
    <t>FUNREBOM 006</t>
  </si>
  <si>
    <t>BEBEDOURO INDUSTRIAL</t>
  </si>
  <si>
    <t>214/2026</t>
  </si>
  <si>
    <t>090/2026</t>
  </si>
  <si>
    <t>FUNREBOM 030</t>
  </si>
  <si>
    <t>BINOCULO</t>
  </si>
  <si>
    <t>CAMERA TERMOGRÁFICA</t>
  </si>
  <si>
    <t>CBMES 030</t>
  </si>
  <si>
    <t>Biscoito doce</t>
  </si>
  <si>
    <t>Pacote 500 g</t>
  </si>
  <si>
    <t>CBMES 031</t>
  </si>
  <si>
    <t>Biscoito salgado</t>
  </si>
  <si>
    <t>Contratação dos projetos complementares do PAB DE SANTA LEOPOLDINA</t>
  </si>
  <si>
    <t>91 - APLICAÇÕES DIRETAS</t>
  </si>
  <si>
    <t>52 - OBRAS E INSTALAÇÕES</t>
  </si>
  <si>
    <t>215/2026</t>
  </si>
  <si>
    <t>Estudos e Projetos</t>
  </si>
  <si>
    <t>2026-BR9JZ</t>
  </si>
  <si>
    <t xml:space="preserve">GEA </t>
  </si>
  <si>
    <t>FUNPDEC 216</t>
  </si>
  <si>
    <t>BITS - PONTAS E BROCAS</t>
  </si>
  <si>
    <t>Kit</t>
  </si>
  <si>
    <t>DESAFIO DE SALVAMENTO VEICULAR E TRAUMA</t>
  </si>
  <si>
    <t>217/2026</t>
  </si>
  <si>
    <t>Exposições, Congressos e Conferências</t>
  </si>
  <si>
    <t>FUNPDEC 093</t>
  </si>
  <si>
    <t>Blocante de punho - direito</t>
  </si>
  <si>
    <t>CAIXA DE FERRAMENTAS</t>
  </si>
  <si>
    <t>218/2026</t>
  </si>
  <si>
    <t>FUNPDEC 095</t>
  </si>
  <si>
    <t>LIMA CHATA</t>
  </si>
  <si>
    <t>CBMES 106</t>
  </si>
  <si>
    <t>Blocante Segurança tipo ID</t>
  </si>
  <si>
    <t>SERROTE 18"</t>
  </si>
  <si>
    <t>FUNPDEC 073</t>
  </si>
  <si>
    <t>BLOCANTE TIPO ASAP</t>
  </si>
  <si>
    <t>FUNPDEC 094</t>
  </si>
  <si>
    <t>Blocante ventral</t>
  </si>
  <si>
    <t>CARRINHO DE FERRAMENTAS</t>
  </si>
  <si>
    <t>FUNPDEC 123</t>
  </si>
  <si>
    <t>BLOQUEADOR TRAVA- QUEDAS tipo rescucender</t>
  </si>
  <si>
    <t>CARRO DE FERRAMENTAS COM 07GAVETAS CONTENDO 380 PÇ,COM RODIZIOS E BANDEJA REFORÇADA,COM FUNÇÃO DE BANCADA DE TRABALHO.</t>
  </si>
  <si>
    <t>FUNPDEC 089</t>
  </si>
  <si>
    <t>Bolsa para acondicionamento de material</t>
  </si>
  <si>
    <t>097/2026</t>
  </si>
  <si>
    <t>2026-BJ8KK</t>
  </si>
  <si>
    <t>CADEADO</t>
  </si>
  <si>
    <t>FUNPDEC 184</t>
  </si>
  <si>
    <t>BOLSA PARA RESGATE AZUL E LARANJA TRAUMA E EMERGÊNCIA COM 9 BOLSINHAS</t>
  </si>
  <si>
    <t>039/2026</t>
  </si>
  <si>
    <t>lona de Polietileno 3 x 2</t>
  </si>
  <si>
    <t>CBMES 226</t>
  </si>
  <si>
    <t>Bolsa térmica M</t>
  </si>
  <si>
    <t>asperssor</t>
  </si>
  <si>
    <t>CBMES 310</t>
  </si>
  <si>
    <t>Bolsa térmica P</t>
  </si>
  <si>
    <t>FUNREBOM 110</t>
  </si>
  <si>
    <t>BONE; MODELO CONFECCAO: JAPONES;COR: AZUL; COMUM.</t>
  </si>
  <si>
    <t>130/2026</t>
  </si>
  <si>
    <t>lixeiras</t>
  </si>
  <si>
    <t>Continuidade Processo 2025-PPBD9
Encerrado 2026-GCMLM</t>
  </si>
  <si>
    <t>CBMES 135</t>
  </si>
  <si>
    <t>Bornal Médico</t>
  </si>
  <si>
    <t>MANGUEIRA DE JARDIM 50M (COM CARRINHO E ESGUICHO)</t>
  </si>
  <si>
    <t>CBMES 101</t>
  </si>
  <si>
    <t>Boroscópio</t>
  </si>
  <si>
    <t>070/2026</t>
  </si>
  <si>
    <t>FUNREBOM 379</t>
  </si>
  <si>
    <t>BORRACHA BRANCA</t>
  </si>
  <si>
    <t>CBMES 324</t>
  </si>
  <si>
    <t>BOTA CONTRA QUIMICOS (PAR)</t>
  </si>
  <si>
    <t>Tela de Projeção (medindo 2m de altura e 3m de largura)</t>
  </si>
  <si>
    <t>219/2026</t>
  </si>
  <si>
    <t>CBMES 325</t>
  </si>
  <si>
    <t>Backdrop</t>
  </si>
  <si>
    <t>FUNREBOM 138</t>
  </si>
  <si>
    <t>BOTA DE COMBATE A INCENDIO</t>
  </si>
  <si>
    <t xml:space="preserve">BOMBA AUTOASPIRANTE </t>
  </si>
  <si>
    <t>131/2026</t>
  </si>
  <si>
    <t>220/2026</t>
  </si>
  <si>
    <t>CBMES 083</t>
  </si>
  <si>
    <t>BOTA NEOPRENE</t>
  </si>
  <si>
    <t>105/2026</t>
  </si>
  <si>
    <t>GERADOR 6000</t>
  </si>
  <si>
    <t>FUNREBOM 162</t>
  </si>
  <si>
    <t>BOTINA DE SEGURANÇA ( BORZEGUIM)</t>
  </si>
  <si>
    <t>083/2026</t>
  </si>
  <si>
    <t>ALUGUEL DE CONTAINERS/ESTRUTURA</t>
  </si>
  <si>
    <t>221/2026</t>
  </si>
  <si>
    <t xml:space="preserve">Locação de Bens Móveis e Outras de Naturezas e 
Intangíveis </t>
  </si>
  <si>
    <t>FUNREBOM 229</t>
  </si>
  <si>
    <t>BRAÇADEIRA PRESSÃO INFANTIL</t>
  </si>
  <si>
    <t>040/2026</t>
  </si>
  <si>
    <t>Reforma e adaptação do container para treinamento em Salvamento em altura</t>
  </si>
  <si>
    <t>222/2026</t>
  </si>
  <si>
    <t>Manutenção e Conservação de Bens Imóveis</t>
  </si>
  <si>
    <t>CBMES 021</t>
  </si>
  <si>
    <t>Brindes Institucionais</t>
  </si>
  <si>
    <t>32 - MATERIAL, BEM OU SERVIÇO PARA DISTRIBUIÇÃO GRATUITA</t>
  </si>
  <si>
    <t>2025-SX78H</t>
  </si>
  <si>
    <t>MOTOR ELÉTRICO PORTÃO</t>
  </si>
  <si>
    <t>223/2026</t>
  </si>
  <si>
    <t>Máquinas e Equipamentos Energéticos</t>
  </si>
  <si>
    <t>FUNPDEC 065</t>
  </si>
  <si>
    <t>MOTOR PARA PORTÃO ELETRÔNICO: Automatizador Portão</t>
  </si>
  <si>
    <t>FUNPDEC 240</t>
  </si>
  <si>
    <t>BROCA 28mm SDS MAX</t>
  </si>
  <si>
    <t>CBMES 288</t>
  </si>
  <si>
    <t>BROCA 40mm SDS MAX</t>
  </si>
  <si>
    <t>FUNPDEC 224</t>
  </si>
  <si>
    <t>BROCA SERRA COPO 70mm SDS MAX</t>
  </si>
  <si>
    <t>Máquina De Pintura</t>
  </si>
  <si>
    <t>224/2026</t>
  </si>
  <si>
    <t>Máquinas, Ferramentas e Utensílios de Oficina</t>
  </si>
  <si>
    <t>CBMES 235</t>
  </si>
  <si>
    <t>BUSSOLA</t>
  </si>
  <si>
    <t>MAQUINA DE SOLDA BIVOLTO</t>
  </si>
  <si>
    <t>CBMES 075</t>
  </si>
  <si>
    <t>CABO DE ACO</t>
  </si>
  <si>
    <t>Rolo 50 M</t>
  </si>
  <si>
    <t>MAQUINA DE SOLDA PORTATIL</t>
  </si>
  <si>
    <t>FUNREBOM 423</t>
  </si>
  <si>
    <t>Cabo de aço</t>
  </si>
  <si>
    <t>Processo em andamento de 2025</t>
  </si>
  <si>
    <t>FUNREBOM 256</t>
  </si>
  <si>
    <t>CABO FLEX 4MM</t>
  </si>
  <si>
    <t>METRO</t>
  </si>
  <si>
    <t>FUNREBOM 354</t>
  </si>
  <si>
    <t>Cabo HDMI de 10 metros</t>
  </si>
  <si>
    <t>073/2026</t>
  </si>
  <si>
    <t xml:space="preserve">TI: Material de Processamento de Dados </t>
  </si>
  <si>
    <t>FUNPDEC 218</t>
  </si>
  <si>
    <t>cabo solteiros</t>
  </si>
  <si>
    <t>066/2026</t>
  </si>
  <si>
    <t>FUNREBOM 299</t>
  </si>
  <si>
    <t>Cabos de conexões entre mesa de som e sistema de som</t>
  </si>
  <si>
    <t>024/2026</t>
  </si>
  <si>
    <t>Maquina eletrica de rebitar</t>
  </si>
  <si>
    <t>FUNREBOM 429</t>
  </si>
  <si>
    <t>Cadeado</t>
  </si>
  <si>
    <t>MARTELETE A BATERIA 11KG</t>
  </si>
  <si>
    <t>FUNREBOM 382</t>
  </si>
  <si>
    <t>Furadeira</t>
  </si>
  <si>
    <t>FUNREBOM 383</t>
  </si>
  <si>
    <t>FUNREBOM 384</t>
  </si>
  <si>
    <t>FURADEIRA PARAFUSADEIRA</t>
  </si>
  <si>
    <t>CBMES 023</t>
  </si>
  <si>
    <t>Cadeira de rodas</t>
  </si>
  <si>
    <t>CBMES 027</t>
  </si>
  <si>
    <t>Café (500grs)</t>
  </si>
  <si>
    <t>Pacote 500g</t>
  </si>
  <si>
    <t>FUNPDEC 174</t>
  </si>
  <si>
    <t>FUNREBOM 326</t>
  </si>
  <si>
    <t>CAIXA ARQUIVO MORTO</t>
  </si>
  <si>
    <t>FUNPDEC 109</t>
  </si>
  <si>
    <t>Caixa de Cabo Rede Computador Cat6</t>
  </si>
  <si>
    <t>FUNREBOM 189</t>
  </si>
  <si>
    <t>155/2026</t>
  </si>
  <si>
    <t>FURADEIRA/ROMPEDOR A BATERIA</t>
  </si>
  <si>
    <t>CBMES 082</t>
  </si>
  <si>
    <t>FUNREBOM 213</t>
  </si>
  <si>
    <t>CBMES 110</t>
  </si>
  <si>
    <t>KIT PARAFUSADEIRA PORTATIL COM BATERIA COM BITS</t>
  </si>
  <si>
    <t>CBMES 111</t>
  </si>
  <si>
    <t>SERRA DE BANCADA 10 POLEGADAS,POTENCIA MAIOR DE 1800 WATS,220 VOLTS, COM SUPORTE METALICO</t>
  </si>
  <si>
    <t>CBMES 112</t>
  </si>
  <si>
    <t>Serra Mármore</t>
  </si>
  <si>
    <t>CBMES 113</t>
  </si>
  <si>
    <t>cortador de grama à bateria</t>
  </si>
  <si>
    <t>FUNREBOM 249</t>
  </si>
  <si>
    <t>FUNREBOM 033</t>
  </si>
  <si>
    <t>CAIXA DE SOM AMPLIFICADA COM BATERIA</t>
  </si>
  <si>
    <t>MOTOR DE POPA 30 HP</t>
  </si>
  <si>
    <t>225/2026</t>
  </si>
  <si>
    <t>FUNREBOM 329</t>
  </si>
  <si>
    <t>CAIXA PLASTICA COM TAMPA</t>
  </si>
  <si>
    <t>Calibrador digital de pneu</t>
  </si>
  <si>
    <t>026/2026</t>
  </si>
  <si>
    <t>226/2026</t>
  </si>
  <si>
    <t>CBMES 255</t>
  </si>
  <si>
    <t>FUNREBOM 355</t>
  </si>
  <si>
    <t>FUNREBOM 219</t>
  </si>
  <si>
    <t>CAIXA PLASTICA ORGANIZADORA PARA ABTS</t>
  </si>
  <si>
    <t>CBMES 170</t>
  </si>
  <si>
    <t>CAIXA TRANSPORTE DE ANIMAL</t>
  </si>
  <si>
    <t>077/2026</t>
  </si>
  <si>
    <t>TRENA DIGITAL</t>
  </si>
  <si>
    <t>227/2026</t>
  </si>
  <si>
    <t>CBMES 171</t>
  </si>
  <si>
    <t>CBMES 172</t>
  </si>
  <si>
    <t>CBMES 224</t>
  </si>
  <si>
    <t>PAINEL DE FERRAMENTAS</t>
  </si>
  <si>
    <t>228/2026</t>
  </si>
  <si>
    <t>CBMES 225</t>
  </si>
  <si>
    <t>FUNPDEC 085</t>
  </si>
  <si>
    <t>CALÇA NEOPRENE</t>
  </si>
  <si>
    <t>PAINEL DE OFICINA COM FERRAMENTAS</t>
  </si>
  <si>
    <t>CBMES 187</t>
  </si>
  <si>
    <t>CALÇA PARA CORTE DE ARVORE</t>
  </si>
  <si>
    <t>062/2026</t>
  </si>
  <si>
    <t>ALAVANCA HOOLIGAN 90CM</t>
  </si>
  <si>
    <t>FUNREBOM 112</t>
  </si>
  <si>
    <t>229/2026</t>
  </si>
  <si>
    <t>CALCA PRONTIDÃO AZUL</t>
  </si>
  <si>
    <t>CATRACA DE AÇO COM FITA</t>
  </si>
  <si>
    <t>CBMES 022</t>
  </si>
  <si>
    <t>Calendario Institucional</t>
  </si>
  <si>
    <t>091/2026</t>
  </si>
  <si>
    <t>BAUDRIER NÍVEL 2</t>
  </si>
  <si>
    <t>FUNREBOM 028</t>
  </si>
  <si>
    <t>CÂMERA DE AÇÃO À PROVA D'AGUA</t>
  </si>
  <si>
    <t>230/2026</t>
  </si>
  <si>
    <t>072/2026</t>
  </si>
  <si>
    <t>CINTO NIVEL A - PARAQUEDISTA</t>
  </si>
  <si>
    <t>FUNREBOM 251</t>
  </si>
  <si>
    <t>SERVIDORA CIVIL ALESSANDRA SANT´ANNA RUFINO, NF 2956667.</t>
  </si>
  <si>
    <t>CAMERA VIDEO DE SEGURANÇA</t>
  </si>
  <si>
    <t>101/2026</t>
  </si>
  <si>
    <t>Cinto Paraquedista - 5 pontos com talabarte em Y</t>
  </si>
  <si>
    <t>FUNREBOM 253</t>
  </si>
  <si>
    <t>FUNPDEC 084</t>
  </si>
  <si>
    <t>Câmera Web</t>
  </si>
  <si>
    <t>ASAP</t>
  </si>
  <si>
    <t>231/2026</t>
  </si>
  <si>
    <t>FUNPDEC 087</t>
  </si>
  <si>
    <t>DESCENSOR INDUSTRIAL - ID (L)</t>
  </si>
  <si>
    <t>FUNPDEC 066</t>
  </si>
  <si>
    <t>Camisa para simulado</t>
  </si>
  <si>
    <t>MAESTRO S - DESCENSOR PARA RESGATE</t>
  </si>
  <si>
    <t>FUNREBOM 194</t>
  </si>
  <si>
    <t>Cancela automática</t>
  </si>
  <si>
    <t>MOSQUETÃO DE AÇO COM ROSCA</t>
  </si>
  <si>
    <t>CBMES 292</t>
  </si>
  <si>
    <t>CANETA DETECTORA DE ENERGIA</t>
  </si>
  <si>
    <t>MOSQUETÃO OVAL DE ALUMÍNIO COM TRAVA RÁPIDA</t>
  </si>
  <si>
    <t>CBMES 308</t>
  </si>
  <si>
    <t>FUNREBOM 291</t>
  </si>
  <si>
    <t>CANETA ESFEROGRAFICA CAIXA COM 50 CANETAS</t>
  </si>
  <si>
    <t>Mosquetão oval em aço com trava automática</t>
  </si>
  <si>
    <t>MOSQUETAO TIPO D OVAL</t>
  </si>
  <si>
    <t>FUNREBOM 312</t>
  </si>
  <si>
    <t>CANETA MARCA TEXTO</t>
  </si>
  <si>
    <t>MOSQUETAO TIPO HMS</t>
  </si>
  <si>
    <t>CBMES 297</t>
  </si>
  <si>
    <t>Caneta Retroprojetor - permanente</t>
  </si>
  <si>
    <t>Maca rígida - divisão em 2 partes</t>
  </si>
  <si>
    <t>FUNPDEC 159</t>
  </si>
  <si>
    <t>CANIVETE</t>
  </si>
  <si>
    <t>MOCHILA DE 80L</t>
  </si>
  <si>
    <t>232/2026</t>
  </si>
  <si>
    <t>FUNREBOM 424</t>
  </si>
  <si>
    <t>Cano PVC</t>
  </si>
  <si>
    <t>Mochila nylon/cordura 500 - combate e rapel</t>
  </si>
  <si>
    <t>FUNREBOM 314</t>
  </si>
  <si>
    <t>CANULA DE GUEDEL KIT 6 UNIDADES</t>
  </si>
  <si>
    <t>MOCHILA PARA CORDA DE 200 METROS</t>
  </si>
  <si>
    <t>FUNPDEC 223</t>
  </si>
  <si>
    <t>Canva</t>
  </si>
  <si>
    <t>MOCHILA PARA TRANSPORTE DE FERRAGENS</t>
  </si>
  <si>
    <t>FUNPDEC 251</t>
  </si>
  <si>
    <t>CORDA DE SALVAMENTO 11MM</t>
  </si>
  <si>
    <t>metros</t>
  </si>
  <si>
    <t>FUNREBOM 174</t>
  </si>
  <si>
    <t>CAPA PROTETORA PARA COLCHÃO</t>
  </si>
  <si>
    <t>032/2026</t>
  </si>
  <si>
    <t>FLUTUADORES</t>
  </si>
  <si>
    <t>233/2026</t>
  </si>
  <si>
    <t>CBMES 182</t>
  </si>
  <si>
    <t>Capa Protetora: Polietileno, para Bote Zefir F-360, Impermeável, Proteção Uv</t>
  </si>
  <si>
    <t>100/2026</t>
  </si>
  <si>
    <t>Pranchão de Salvamento Aquático</t>
  </si>
  <si>
    <t>FUNREBOM 172</t>
  </si>
  <si>
    <t>CAPACETE DE COMBATE A INCENDIO</t>
  </si>
  <si>
    <t>132/2026</t>
  </si>
  <si>
    <t>PRANCHÕES DE SALVAMENTO</t>
  </si>
  <si>
    <t>FUNPDEC 068</t>
  </si>
  <si>
    <t>CAPACETE DE COMBATE A INCENDIO -BRANCO</t>
  </si>
  <si>
    <t>FUNREBOM 093</t>
  </si>
  <si>
    <t>CAPACETE DE COMBATE A INCENDIO -VERMELHO</t>
  </si>
  <si>
    <t>CAPACETE SALVAMENTO AQUÁTICO</t>
  </si>
  <si>
    <t>CBMES 047</t>
  </si>
  <si>
    <t>CAPACETE DE SALVAMENTO EM ALTURAS</t>
  </si>
  <si>
    <t>009/2026</t>
  </si>
  <si>
    <t>MOCHILA DE ATAQUE COM REFIL DE HIDRATAÇÃO</t>
  </si>
  <si>
    <t>234/2026</t>
  </si>
  <si>
    <t>CBMES 048</t>
  </si>
  <si>
    <t>Mochila de hidratação - com refil 3L</t>
  </si>
  <si>
    <t>CBMES 049</t>
  </si>
  <si>
    <t>ÓCULOS DE SEGURANÇA</t>
  </si>
  <si>
    <t>FUNPDEC 105</t>
  </si>
  <si>
    <t>SAPATILHA DE ESCALADA</t>
  </si>
  <si>
    <t>PAR</t>
  </si>
  <si>
    <t>CBMES 066</t>
  </si>
  <si>
    <t>CBMES 078</t>
  </si>
  <si>
    <t>COMPRA: Aquisição de abafador para incêndio florestal</t>
  </si>
  <si>
    <t>235/2026</t>
  </si>
  <si>
    <t>CBMES 079</t>
  </si>
  <si>
    <t>PINGA FOGO 1 LITRO</t>
  </si>
  <si>
    <t>CBMES 080</t>
  </si>
  <si>
    <t>MOCHILA PARA RESGATE</t>
  </si>
  <si>
    <t>236/2026</t>
  </si>
  <si>
    <t>CBMES 104</t>
  </si>
  <si>
    <t>PRANCHA APH</t>
  </si>
  <si>
    <t>FUNREBOM 062</t>
  </si>
  <si>
    <t>CAPACETE MULTIMISSÃO SALVAMENTO</t>
  </si>
  <si>
    <t>ST BM FLAVIO MENENGUSSI DA SILVA, NF 904100</t>
  </si>
  <si>
    <t>2025-T622X</t>
  </si>
  <si>
    <t>FUNPDEC 080</t>
  </si>
  <si>
    <t>CAPACETE SALVAMENTO MULTIMISSÃO</t>
  </si>
  <si>
    <t>REANIMADOR MANUAL C/RESERVATÓRIO - INFANTIL</t>
  </si>
  <si>
    <t>FUNREBOM 001</t>
  </si>
  <si>
    <t>CAPOTA AUTOMOTIVA L-200</t>
  </si>
  <si>
    <t>2º SGT BM ANDRE PORTO, NF 2980860</t>
  </si>
  <si>
    <t>2025-G7Z8K</t>
  </si>
  <si>
    <t>REANIMADOR MANUAL C/RESERVATÓRIO - NEONATAL</t>
  </si>
  <si>
    <t>CBMES 032</t>
  </si>
  <si>
    <t>Cappuccino em pó</t>
  </si>
  <si>
    <t>Pote 400 g</t>
  </si>
  <si>
    <t>TORNIQUETE</t>
  </si>
  <si>
    <t>FUNPDEC 012</t>
  </si>
  <si>
    <t>CARRETA TRANSPORTE DE EMBARCAÇÃO</t>
  </si>
  <si>
    <t>CAIXA DE MASCARAS DESCARTÁVEIS</t>
  </si>
  <si>
    <t>caixa</t>
  </si>
  <si>
    <t>122/2026</t>
  </si>
  <si>
    <t>Equipamentos e Material Permanente</t>
  </si>
  <si>
    <t>FUNREBOM 320</t>
  </si>
  <si>
    <t>carrinho armagem</t>
  </si>
  <si>
    <t>CHAPELETA INOX PINGO</t>
  </si>
  <si>
    <t>237/2026</t>
  </si>
  <si>
    <t>FUNREBOM 286</t>
  </si>
  <si>
    <t>CARRINHO DE TRANSPORTE PARA MOTOR DE POPA</t>
  </si>
  <si>
    <t>PARABOLTS</t>
  </si>
  <si>
    <t>FUNREBOM 361</t>
  </si>
  <si>
    <t>FUNREBOM 362</t>
  </si>
  <si>
    <t>Fechadura Biométrica</t>
  </si>
  <si>
    <t>238/2026</t>
  </si>
  <si>
    <t>FUNREBOM 372</t>
  </si>
  <si>
    <t>Carrinho Distribuição: Aço Inoxidável, 4 Bandejas, Rodízio: 4 Giratórios, Transporte Cubas, comprimento: 230CM, L: 80CM, A: 85CM, Freio Nas Rodas Traseiras</t>
  </si>
  <si>
    <t>FUNREBOM 345</t>
  </si>
  <si>
    <t>Carro Carga 300kg</t>
  </si>
  <si>
    <t>FUNREBOM 351</t>
  </si>
  <si>
    <t>CAVADEIRA ARTICULADA</t>
  </si>
  <si>
    <t>FUNPDEC 241</t>
  </si>
  <si>
    <t>FUNPDEC 190</t>
  </si>
  <si>
    <t>Célula de carga NFPA G</t>
  </si>
  <si>
    <t>FUNREBOM 180</t>
  </si>
  <si>
    <t>CERA AUTOMOTIVA</t>
  </si>
  <si>
    <t>060/2026</t>
  </si>
  <si>
    <t>FUNPDEC 061</t>
  </si>
  <si>
    <t>Cesta básica (AJUDA HUMANITÁRIA)</t>
  </si>
  <si>
    <t>FORRO HIGIÊNICO PARA COLCHÃO</t>
  </si>
  <si>
    <t>239/2026</t>
  </si>
  <si>
    <t>FUNREBOM 375</t>
  </si>
  <si>
    <t>CHALEIRA ELÉTRICA</t>
  </si>
  <si>
    <t>FUNREBOM 376</t>
  </si>
  <si>
    <t>FUNREBOM 284</t>
  </si>
  <si>
    <t>CHAPA COMPENSADO NAVAL 0,01 X 1,6 X 2,2m</t>
  </si>
  <si>
    <t>098/2026</t>
  </si>
  <si>
    <t>FUNREBOM 103</t>
  </si>
  <si>
    <t>CHAPA MADEIRITE 0,01 X 1,1 X 2,2m</t>
  </si>
  <si>
    <t>KIT ANÉIS TIPO O'RING</t>
  </si>
  <si>
    <t>kit</t>
  </si>
  <si>
    <t>CBMES 184</t>
  </si>
  <si>
    <t>Chapeleta de aço para alpinismo</t>
  </si>
  <si>
    <t>SLED SALVAMENTO AQUÁTICO</t>
  </si>
  <si>
    <t>240/2026</t>
  </si>
  <si>
    <t>CBMES 185</t>
  </si>
  <si>
    <t>FUNPDEC 171</t>
  </si>
  <si>
    <t>Chapeleta inox pingo</t>
  </si>
  <si>
    <t>CBMES 207</t>
  </si>
  <si>
    <t>Aparelho telefônico celular</t>
  </si>
  <si>
    <t>241/2026</t>
  </si>
  <si>
    <t>CBMES 227</t>
  </si>
  <si>
    <t>SMARTPHONE SAMSUNG S OU IPHONE</t>
  </si>
  <si>
    <t>CBMES 305</t>
  </si>
  <si>
    <t>CHAVE DE HIDRANTE</t>
  </si>
  <si>
    <t>TELEFONE SEM FIO (UNIDADE) ID</t>
  </si>
  <si>
    <t>FUNPDEC 242</t>
  </si>
  <si>
    <t>CHIBANCA</t>
  </si>
  <si>
    <t>ARMÁRIO ROUPEIRO COM CABIDEIRO 2 PORTAS</t>
  </si>
  <si>
    <t>242/2026</t>
  </si>
  <si>
    <t>CBMES 251</t>
  </si>
  <si>
    <t>CHUMBADOR</t>
  </si>
  <si>
    <t>CBMES 272</t>
  </si>
  <si>
    <t>FUNREBOM 196</t>
  </si>
  <si>
    <t>CHUVEIRO 3 TEMP BRANCA</t>
  </si>
  <si>
    <t>FUNREBOM 293</t>
  </si>
  <si>
    <t>Chuveiro Elétrico 220v</t>
  </si>
  <si>
    <t>CAMA CONJUGADA</t>
  </si>
  <si>
    <t>CBMES 144</t>
  </si>
  <si>
    <t>CILINDRO DE CALIBRAÇÃO DO DETECTOR DRAGER</t>
  </si>
  <si>
    <t>027/2026</t>
  </si>
  <si>
    <t>Cama Conjugada</t>
  </si>
  <si>
    <t>CBMES 145</t>
  </si>
  <si>
    <t>CILINDRO DE CALIBRAÇÃO DO DETECTOR MSA</t>
  </si>
  <si>
    <t>Quadro Avisos (vidro)</t>
  </si>
  <si>
    <t>243/2026</t>
  </si>
  <si>
    <t>CBMES 146</t>
  </si>
  <si>
    <t>CBMES 147</t>
  </si>
  <si>
    <t>QUADRO BRANCO 2,75m x 1,20m</t>
  </si>
  <si>
    <t>FUNPDEC 124</t>
  </si>
  <si>
    <t>CILINDRO DE GÁS PARA DETECTOR + regulador de pressão</t>
  </si>
  <si>
    <t>CORTINA 3,5M X 2,5M BLACKOUT TECIDO</t>
  </si>
  <si>
    <t>245/2026</t>
  </si>
  <si>
    <t>Peças não incorporáveis a imóveis</t>
  </si>
  <si>
    <t>FUNREBOM 389</t>
  </si>
  <si>
    <t>cimento</t>
  </si>
  <si>
    <t>Manutenção / Reforma Predial GBens</t>
  </si>
  <si>
    <t>246/2026</t>
  </si>
  <si>
    <t>2026-HKX07</t>
  </si>
  <si>
    <t>FUNREBOM 296</t>
  </si>
  <si>
    <t>CINTA LOMBAR</t>
  </si>
  <si>
    <t>Manutenção / Reforma Predial Cariacica</t>
  </si>
  <si>
    <t>093/2026</t>
  </si>
  <si>
    <t>247/2026</t>
  </si>
  <si>
    <t>SERVIÇO DE MANUTENÇÃO E REPOSIÇÃO DO SISTEMA DE SONORIZAÇÃO</t>
  </si>
  <si>
    <t>CBMES 067</t>
  </si>
  <si>
    <t>248/2026</t>
  </si>
  <si>
    <t>WORKSTATION (COMPUTADOR/NOTEBOOK</t>
  </si>
  <si>
    <t>FUNPDEC 075</t>
  </si>
  <si>
    <t>249/2026</t>
  </si>
  <si>
    <t>FUNPDEC 076</t>
  </si>
  <si>
    <t>CADEIRA ERGONÔMICA</t>
  </si>
  <si>
    <t>250/2026</t>
  </si>
  <si>
    <t>FUNPDEC 214</t>
  </si>
  <si>
    <t>CINTO TIPO ARANHA ADULTO</t>
  </si>
  <si>
    <t>CADEIRA GIRATÓRIA PARA ESCRITÓRIO</t>
  </si>
  <si>
    <t>Trituração De Resíduos (Papel)</t>
  </si>
  <si>
    <t>FUNPDEC 265</t>
  </si>
  <si>
    <t>CINTO TIPO ARANHA INFANTIL</t>
  </si>
  <si>
    <t>251/2026</t>
  </si>
  <si>
    <t>Máquinas, Instalações e Utensílios de Escritório</t>
  </si>
  <si>
    <t>Cofre de aço tamanho grande</t>
  </si>
  <si>
    <t>FUNREBOM 368</t>
  </si>
  <si>
    <t>CLIPS</t>
  </si>
  <si>
    <t>HOLOFOTES PORTATEIS COM BATERIA E CARREGADOR</t>
  </si>
  <si>
    <t>252/2026</t>
  </si>
  <si>
    <t>FUNREBOM 369</t>
  </si>
  <si>
    <t>CLIPS GALVANIZADO 3/0</t>
  </si>
  <si>
    <t>CAIXA (100UN)</t>
  </si>
  <si>
    <t>LUZ DE CENA</t>
  </si>
  <si>
    <t>FUNREBOM 198</t>
  </si>
  <si>
    <t>CLORO 5 LITROS</t>
  </si>
  <si>
    <t>FUNPDEC 064</t>
  </si>
  <si>
    <t>Cobertores (AJUDA HUMANITÁRIA)</t>
  </si>
  <si>
    <t>GO PRO 360 MAX OU INSTAMAX</t>
  </si>
  <si>
    <t>253/2026</t>
  </si>
  <si>
    <t>Ajudas humanitarias</t>
  </si>
  <si>
    <t>CBMES 045</t>
  </si>
  <si>
    <t>Coffee break</t>
  </si>
  <si>
    <t>TRIPÉ FOTOGRÁFICO</t>
  </si>
  <si>
    <t>078/2026</t>
  </si>
  <si>
    <t>Fornecimento de Alimentação</t>
  </si>
  <si>
    <t>FUNPDEC 069</t>
  </si>
  <si>
    <t>coffee break</t>
  </si>
  <si>
    <t>CAIXA DE TRANSPORTE PARA CÃES</t>
  </si>
  <si>
    <t>254/2026</t>
  </si>
  <si>
    <t>FUNREBOM 333</t>
  </si>
  <si>
    <t>COLA BRANCA 40G</t>
  </si>
  <si>
    <t>Coletes K9</t>
  </si>
  <si>
    <t>FUNREBOM 399</t>
  </si>
  <si>
    <t>cola super bonder 6 gramas</t>
  </si>
  <si>
    <t>255/2026</t>
  </si>
  <si>
    <t>FUNREBOM 167</t>
  </si>
  <si>
    <t>COLAR CERVICAL DE EMERGENCIA PP</t>
  </si>
  <si>
    <t>CALÇO ESCALONADO PARA ESTABILIZAÇÃO VEICULAR</t>
  </si>
  <si>
    <t>FUNREBOM 168</t>
  </si>
  <si>
    <t>COLAR CERVICAL DE EMERGENCIA TAMANHO G</t>
  </si>
  <si>
    <t>Kit de batoques de madeira</t>
  </si>
  <si>
    <t>FUNREBOM 156</t>
  </si>
  <si>
    <t>COLAR CERVICAL DE EMERGENCIA TAMANHO M</t>
  </si>
  <si>
    <t>FUNREBOM 134</t>
  </si>
  <si>
    <t>COLAR CERVICAL DE EMERGENCIA TAMANHO P</t>
  </si>
  <si>
    <t>ESCADA EXTENSÍVEL FIBRA DE VIDRO</t>
  </si>
  <si>
    <t>MAJ QOCBM MARCIO DA COSTA CAVACHINI, NF 2758515</t>
  </si>
  <si>
    <t>PISCINA INFLÁVEL OPERACIONAL 11.000L PARA OPERAÇÕES HELICÓPTERO</t>
  </si>
  <si>
    <t>FUNREBOM 106</t>
  </si>
  <si>
    <t>COLCHÃO</t>
  </si>
  <si>
    <t>256/2026</t>
  </si>
  <si>
    <t>TENDA</t>
  </si>
  <si>
    <t>FUNREBOM 315</t>
  </si>
  <si>
    <t>COLCHETE Nº 15 (CAIXA)</t>
  </si>
  <si>
    <t>CAIXA</t>
  </si>
  <si>
    <t>ROUPA DE PROTECAO PARA COMBATE A INCENDIO; CALCA E CAPA</t>
  </si>
  <si>
    <t>257/2026</t>
  </si>
  <si>
    <t>FUNREBOM 342</t>
  </si>
  <si>
    <t>COLCHETE Nº 7 (CAIXA)</t>
  </si>
  <si>
    <t>ARMÁRIO COPA/COZINHA</t>
  </si>
  <si>
    <t>CBMES 118</t>
  </si>
  <si>
    <t>COLETE DE SALVAMENTO</t>
  </si>
  <si>
    <t>Roupas de treinamento PP nível A</t>
  </si>
  <si>
    <t>258/2026</t>
  </si>
  <si>
    <t>FUNPDEC 113</t>
  </si>
  <si>
    <t>Colete para salvamento em águas rápidas</t>
  </si>
  <si>
    <t>109/2026</t>
  </si>
  <si>
    <t>AQUISIÇÃO DE SOFTWARE PARA SERVIDOR - PYROSIM</t>
  </si>
  <si>
    <t>FUNPDEC 125</t>
  </si>
  <si>
    <t>COLETE PARA TREINAMENTO DE MANOBRA DE HEIMLICH</t>
  </si>
  <si>
    <t>081/2026</t>
  </si>
  <si>
    <t>Material Técnico Para Seleção e Treinamento</t>
  </si>
  <si>
    <t>Piso Sintético - Academia</t>
  </si>
  <si>
    <t>M²</t>
  </si>
  <si>
    <t>259/2026</t>
  </si>
  <si>
    <t>CBMES 055</t>
  </si>
  <si>
    <t>Colete Prova Tiro</t>
  </si>
  <si>
    <t>RETIRADO DO PCA</t>
  </si>
  <si>
    <t>108/2026</t>
  </si>
  <si>
    <t>Realocação das condensadoras de ar condicionado, tipo Split</t>
  </si>
  <si>
    <t>ENCERRADO</t>
  </si>
  <si>
    <t>CBMES 090</t>
  </si>
  <si>
    <t>Colete Salva-Vidas Tipo: Classe 5, Capacidade: 110 kg</t>
  </si>
  <si>
    <t>INSTALAÇÃO / REMOÇÃO DIVISÓRIA</t>
  </si>
  <si>
    <t>260/2026</t>
  </si>
  <si>
    <t>CBMES 148</t>
  </si>
  <si>
    <t>CONTENÇÃO DE ENCOSTA (MARECHAL FLORIANO)</t>
  </si>
  <si>
    <t>266/2026</t>
  </si>
  <si>
    <t>Obras
de Benfeitoria ou Melhoria</t>
  </si>
  <si>
    <t>2025-MFZMZ</t>
  </si>
  <si>
    <t>BANDEIRAS</t>
  </si>
  <si>
    <t>FUNREBOM 197</t>
  </si>
  <si>
    <t>coletor de lixo</t>
  </si>
  <si>
    <t>CBMES 341</t>
  </si>
  <si>
    <t>Pesquisa técnica relacionada a desastres (FAPES)</t>
  </si>
  <si>
    <t>colher de sobremesa</t>
  </si>
  <si>
    <t>04 - CONTRATAÇÃO POR TEMPO DETERMINADO</t>
  </si>
  <si>
    <t>267/2026</t>
  </si>
  <si>
    <t>CBMES 003</t>
  </si>
  <si>
    <t>Comercialização / Distribuição - Vale Transporte</t>
  </si>
  <si>
    <t>49 - AUXÍLIO-TRANSPORTE</t>
  </si>
  <si>
    <t>Prêmio Amigo do Bombeiro</t>
  </si>
  <si>
    <t>3º SGT BM KEZIA KAROLINA DE SOUZA PIMENTEL, NF 3036448</t>
  </si>
  <si>
    <t>268/2026</t>
  </si>
  <si>
    <t>2026-8XTJT</t>
  </si>
  <si>
    <t>Barreta Machadinha Soldado do Fogo</t>
  </si>
  <si>
    <t>Plaqueta Acrílico Amigo do Bombeiro</t>
  </si>
  <si>
    <t>CBMES 076</t>
  </si>
  <si>
    <t>Componentes: Macacão, Máscara E Chapéu Com Tela Tipo Uso: Apicultor</t>
  </si>
  <si>
    <t>Plaqueta Acrílico Machadinha Soldado do Fogo</t>
  </si>
  <si>
    <t>2025-BQ2MK</t>
  </si>
  <si>
    <t>PLAQUETAS DE INDENTIFICAÇÃO</t>
  </si>
  <si>
    <t>FUNPDEC 205</t>
  </si>
  <si>
    <t>269/2026</t>
  </si>
  <si>
    <t>COMPRESSA CIRURGICA</t>
  </si>
  <si>
    <t>2026-S3C4G</t>
  </si>
  <si>
    <t>CURSO DE GRADUAÇÃO PARA O CFO</t>
  </si>
  <si>
    <t>270/2026</t>
  </si>
  <si>
    <t>2026-P4HX5</t>
  </si>
  <si>
    <t>JAPONA DE FRIO</t>
  </si>
  <si>
    <t>271/2026</t>
  </si>
  <si>
    <t>2026-7KXRQ</t>
  </si>
  <si>
    <t>Moto poda</t>
  </si>
  <si>
    <t>FUNPDEC 245</t>
  </si>
  <si>
    <t>COMPRESSA DE GAZES</t>
  </si>
  <si>
    <t>273/2026</t>
  </si>
  <si>
    <t>2026-J0C9G</t>
  </si>
  <si>
    <t>Motosserra</t>
  </si>
  <si>
    <t>Roçadeira</t>
  </si>
  <si>
    <t>FUNREBOM 002</t>
  </si>
  <si>
    <t>Compressor de ar</t>
  </si>
  <si>
    <t>Soprador a bateria</t>
  </si>
  <si>
    <t>ST BM JOÃO ROSA JUNIOR, NF 903453</t>
  </si>
  <si>
    <t>2025-4H2BP</t>
  </si>
  <si>
    <t>Cortador de pedal</t>
  </si>
  <si>
    <t>FUNREBOM 031</t>
  </si>
  <si>
    <t>Cortador de concreto</t>
  </si>
  <si>
    <t>COMPRESSOR DE AR 25 L 2 HP KIT PINTURA FUNILARIA</t>
  </si>
  <si>
    <t>Ventilador de pressão</t>
  </si>
  <si>
    <t>Aquisição de ACESSÓRIOS, CABOS E CONECTORES</t>
  </si>
  <si>
    <t>275/2026</t>
  </si>
  <si>
    <t>FUNREBOM 067</t>
  </si>
  <si>
    <t>Concertina para muro para atender as unidades do CBMES</t>
  </si>
  <si>
    <t>2026-NQTBM</t>
  </si>
  <si>
    <t>1º TEN QOCBM BRENNER MARCIO ESTEVES HOURI, NF 4151240</t>
  </si>
  <si>
    <t>TESTE HIDROSTÁTICO NOS CILINDROS DE MERGULHO</t>
  </si>
  <si>
    <t>2025-G0VHF</t>
  </si>
  <si>
    <t>276/2026</t>
  </si>
  <si>
    <t>2026-N0FX1</t>
  </si>
  <si>
    <t>ENCARROÇAMENTO DA VIATURA DO MERGULHO</t>
  </si>
  <si>
    <t>277/2026</t>
  </si>
  <si>
    <t>CBMES 348</t>
  </si>
  <si>
    <t>2026-4SG30</t>
  </si>
  <si>
    <t>concha de aço inoxidável</t>
  </si>
  <si>
    <t>BANDEIRA EM GRANDES DIMENSÕES</t>
  </si>
  <si>
    <t>2026-T3B4K</t>
  </si>
  <si>
    <t>Plataforma Rebocável Multimissão</t>
  </si>
  <si>
    <t>CBMES 154</t>
  </si>
  <si>
    <t>CONE DE SINALIZAÇÃO FLEXIVEL 70CM</t>
  </si>
  <si>
    <t>111/2026</t>
  </si>
  <si>
    <t>VIATURA SUV GRANDE PARA O K9</t>
  </si>
  <si>
    <t>CBMES 173</t>
  </si>
  <si>
    <t>FUNPDEC 204</t>
  </si>
  <si>
    <t>TRAINING MANIKIN ADULTO</t>
  </si>
  <si>
    <t>CBMES 155</t>
  </si>
  <si>
    <t>CONEXÃO MANGUEIRA MATERIAL: 1 1/2POL 1 1/2POL ROSCA FÊMEA.</t>
  </si>
  <si>
    <t>TRAINING MANIKIN LACTENTE</t>
  </si>
  <si>
    <t>CBMES 240</t>
  </si>
  <si>
    <t>BONECO PARA TREINAMENTO APH</t>
  </si>
  <si>
    <t>CBMES 241</t>
  </si>
  <si>
    <t>BONECO SIMULADOR DE VÍTIMA</t>
  </si>
  <si>
    <t>CBMES 242</t>
  </si>
  <si>
    <t>CONEXÃO MANGUEIRA MATERIAL: 2 1/2POL 1 1/2POL ROSCA FÊMEA.</t>
  </si>
  <si>
    <t>MANEQUIM RCP ADULTO</t>
  </si>
  <si>
    <t>CBMES 273</t>
  </si>
  <si>
    <t>CONJUNTO AFIADOR FERRAMENTA - COMPONENTES: LIMA CHATA PARALELA, LIMA CHATA AFILADA,LIMA FACA</t>
  </si>
  <si>
    <t>FUNREBOM 380</t>
  </si>
  <si>
    <t>Conjunto Broca</t>
  </si>
  <si>
    <t>FUNREBOM 386</t>
  </si>
  <si>
    <t>CONJUNTO CHAVE CATRACA SOQUETE</t>
  </si>
  <si>
    <t>MANEQUIM RCP BEBÊ</t>
  </si>
  <si>
    <t>FUNPDEC 077</t>
  </si>
  <si>
    <t>Conjunto escora de estabilização veicular V STRUT</t>
  </si>
  <si>
    <t>063/2026</t>
  </si>
  <si>
    <t>FUNREBOM 047</t>
  </si>
  <si>
    <t>Construção da unidade padrão em Colatina</t>
  </si>
  <si>
    <t>DER</t>
  </si>
  <si>
    <t>FUNREBOM 048</t>
  </si>
  <si>
    <t>Construção da unidade padrão em Linhares</t>
  </si>
  <si>
    <t>FUNREBOM 046</t>
  </si>
  <si>
    <t>Construção de PAB (02) Barra de São Francisco</t>
  </si>
  <si>
    <t>116/2026</t>
  </si>
  <si>
    <t>Equipamento de Proteção Respiratória</t>
  </si>
  <si>
    <t>CEPDEC 002</t>
  </si>
  <si>
    <t>AGUAS E PAISAGENS II</t>
  </si>
  <si>
    <t>CONSTRUÇÃO DO CERD</t>
  </si>
  <si>
    <t>RECURSOS DO ORÇAMENTO DE INVESTIMENTO</t>
  </si>
  <si>
    <t>ELIZANE MARIA CARNEIRO JUBINI, NF 4386329</t>
  </si>
  <si>
    <t>CEIB/CERD</t>
  </si>
  <si>
    <t>EQUIPAMENTOS OPERACIONAIS</t>
  </si>
  <si>
    <t>FUNPDEC 057</t>
  </si>
  <si>
    <t>consultoria de monitoramento</t>
  </si>
  <si>
    <t>mensal</t>
  </si>
  <si>
    <t>35 - SERVIÇOS DE CONSULTORIA</t>
  </si>
  <si>
    <t>1º TEN QOCBM TIAGO VITORINO HORTA, NF 3592081</t>
  </si>
  <si>
    <t>Serviços de consultoria</t>
  </si>
  <si>
    <t>KIT BUSCA RÁPIDA</t>
  </si>
  <si>
    <t>FUNREBOM 044</t>
  </si>
  <si>
    <t>Continuidade Centro de treinamento</t>
  </si>
  <si>
    <t>Linha de comunicação intrinsecamente segura</t>
  </si>
  <si>
    <t>FUNREBOM 045</t>
  </si>
  <si>
    <t>Continuidade Construção da unidade padrão em Cachoeiro</t>
  </si>
  <si>
    <t>KIT GIROFLEX COMPLETO</t>
  </si>
  <si>
    <t xml:space="preserve">Equipamentos para Veículos </t>
  </si>
  <si>
    <t>CEPDEC 003</t>
  </si>
  <si>
    <t>CONTRAPARTIDA DO CERD</t>
  </si>
  <si>
    <t>PARA CHOQUE DE IMPULSÃO L200 COM SUPORTE PARA GUINCHO E PROTETOR DE FARÓIS</t>
  </si>
  <si>
    <t>FUNREBOM 445</t>
  </si>
  <si>
    <t>CONTRATAÇÃO DE EMPRESA DE CONSULTORIA E ADEQUAÇÃO DO PADRÃO DE ENERGIA E DEMANDA PARA UNIDADES OPERACIONAIS E ADEQUAÇÃO DA DEMANDA DO QCG E CIDEC</t>
  </si>
  <si>
    <t>133/2026</t>
  </si>
  <si>
    <t xml:space="preserve">Consultoria Técnica </t>
  </si>
  <si>
    <t>GEA</t>
  </si>
  <si>
    <t>FUNREBOM 446</t>
  </si>
  <si>
    <t>Contratação de estande de tiro</t>
  </si>
  <si>
    <t>015/2026</t>
  </si>
  <si>
    <t>Locação de espaço para instruções</t>
  </si>
  <si>
    <t>MOBILIÁRIO PARA O NOVO CEIB</t>
  </si>
  <si>
    <t>FUNREBOM 411</t>
  </si>
  <si>
    <t>Contratação de Objeto Referente a Evento - Dia das Criaças (Reg. Metropolitana ES)</t>
  </si>
  <si>
    <t>124/2026</t>
  </si>
  <si>
    <t xml:space="preserve">Festividades e Homenagens </t>
  </si>
  <si>
    <t>Servidor</t>
  </si>
  <si>
    <t>FUNREBOM 410</t>
  </si>
  <si>
    <t>Contratação de Objeto Referente a Evento - Dia das Criaças (Reg. Sul/Norte ES)</t>
  </si>
  <si>
    <t>125/2026</t>
  </si>
  <si>
    <t>Solução de Switch</t>
  </si>
  <si>
    <t>Contratação de Objeto Referente a Evento - Dia das Criaças (Reg.Norte ES)</t>
  </si>
  <si>
    <t>154/2026</t>
  </si>
  <si>
    <t>NOVA INTRANET</t>
  </si>
  <si>
    <t>FUNREBOM 057</t>
  </si>
  <si>
    <t>Contratação de serviços de telecomunicações. Com fornecimento do aparelho, SPOT X comunicador satelital bidirecional com mensagens ilimitadas por aparelho , com validade de 365( Trezentos e Sessenta e Cinco) dias.</t>
  </si>
  <si>
    <t>134/2026</t>
  </si>
  <si>
    <t>Contratação de serviços de telecomunicações</t>
  </si>
  <si>
    <t>Solução de Analytics - SAAS</t>
  </si>
  <si>
    <t>UST</t>
  </si>
  <si>
    <t>FUNREBOM 043</t>
  </si>
  <si>
    <t>contratação dos projetos complementares do PAB DE SANTA LEOPOLDINA</t>
  </si>
  <si>
    <t>145/2026</t>
  </si>
  <si>
    <t>FUNREBOM 064</t>
  </si>
  <si>
    <t>CONTRATO DE MANUTENÇÃO DAS PLATAFORMAS</t>
  </si>
  <si>
    <t>2025-MC4Z4</t>
  </si>
  <si>
    <t>FUNREBOM 052</t>
  </si>
  <si>
    <t>Contrato de Outsourcing de Impressão</t>
  </si>
  <si>
    <t>2º SGT BM THIAGO DIAS PEDRALHO, NF 2983761</t>
  </si>
  <si>
    <t>TI: OUTSOURCING DE IMPRESSÃO</t>
  </si>
  <si>
    <t>FUNPDEC 036</t>
  </si>
  <si>
    <t>Contrato de Service Desk</t>
  </si>
  <si>
    <t>MÊS</t>
  </si>
  <si>
    <t>FUNREBOM 079</t>
  </si>
  <si>
    <t>CONTRATO PARA PLOTAGEM DE VIATURAS</t>
  </si>
  <si>
    <t>126/2026</t>
  </si>
  <si>
    <t>CBMES 011</t>
  </si>
  <si>
    <t>Contrato Receptivo Coffee break</t>
  </si>
  <si>
    <t>Contrato estimativo</t>
  </si>
  <si>
    <t>FUNREBOM 398</t>
  </si>
  <si>
    <t>Controle de Abastecimento de moto mecanizados e embarcações</t>
  </si>
  <si>
    <t>ADESÃO ATA</t>
  </si>
  <si>
    <t>Contratos de abastecimentos</t>
  </si>
  <si>
    <t>FUNREBOM 089</t>
  </si>
  <si>
    <t>Controle de Abastecimento de Veículos</t>
  </si>
  <si>
    <t>CAP QOCBM FERNANDO MONTEIRO DA SILVA, NF 3271609</t>
  </si>
  <si>
    <t>002/2026</t>
  </si>
  <si>
    <t>CONSUMO DE ARP</t>
  </si>
  <si>
    <t>FUNREBOM 150</t>
  </si>
  <si>
    <t>COPO DESCARTAVEL - 200 ML - PC COM DE 100 UNIDADES</t>
  </si>
  <si>
    <t>PACOTE (100UN)</t>
  </si>
  <si>
    <t>FUNREBOM 260</t>
  </si>
  <si>
    <t>COPO DESCARTAVEL - 50 ML</t>
  </si>
  <si>
    <t>CBMES 320</t>
  </si>
  <si>
    <t>copo vidro transparente, capacidade 300ml⁠</t>
  </si>
  <si>
    <t>FUNREBOM 292</t>
  </si>
  <si>
    <t>corda</t>
  </si>
  <si>
    <t>FUNPDEC 117</t>
  </si>
  <si>
    <t>FUNPDEC 101</t>
  </si>
  <si>
    <t>CORDA DINAMICA ESCALADA 60M</t>
  </si>
  <si>
    <t>CBMES 124</t>
  </si>
  <si>
    <t>CBMES 157</t>
  </si>
  <si>
    <t>FUNREBOM 218</t>
  </si>
  <si>
    <t>CORDA RETINIDA TRANÇADA 5MM</t>
  </si>
  <si>
    <t>FUNPDEC 136</t>
  </si>
  <si>
    <t>CORDELETE</t>
  </si>
  <si>
    <t>CBMES 158</t>
  </si>
  <si>
    <t>MT</t>
  </si>
  <si>
    <t>FUNPDEC 160</t>
  </si>
  <si>
    <t>FUNPDEC 040</t>
  </si>
  <si>
    <t>CORELDRAW</t>
  </si>
  <si>
    <t>FUNREBOM 070</t>
  </si>
  <si>
    <t>Correios</t>
  </si>
  <si>
    <t>Cota</t>
  </si>
  <si>
    <t>2º SGT  BM JUAN FUNDÃO ORÇAI DOS SANTOS, NF 2711966</t>
  </si>
  <si>
    <t>Correios e correspondências</t>
  </si>
  <si>
    <t>FUNREBOM 367</t>
  </si>
  <si>
    <t>CORRETIVO LIQUIDO</t>
  </si>
  <si>
    <t>FUNREBOM 252</t>
  </si>
  <si>
    <t>Cortina</t>
  </si>
  <si>
    <t>094/2026</t>
  </si>
  <si>
    <t>FUNPDEC 054</t>
  </si>
  <si>
    <t>Costura expressa</t>
  </si>
  <si>
    <t>CBMES 093</t>
  </si>
  <si>
    <t>COTOVELEIRA Acessório Equipamento Segurança</t>
  </si>
  <si>
    <t>075/2026</t>
  </si>
  <si>
    <t>FUNREBOM 090</t>
  </si>
  <si>
    <t>COTURNO</t>
  </si>
  <si>
    <t>164/2026</t>
  </si>
  <si>
    <t>2026-MLR0S</t>
  </si>
  <si>
    <t>sera comprado 1000 pares</t>
  </si>
  <si>
    <t>CBMES 175</t>
  </si>
  <si>
    <t>CSS - Camisa Uniforme</t>
  </si>
  <si>
    <t>149/2026</t>
  </si>
  <si>
    <t>FUNREBOM 336</t>
  </si>
  <si>
    <t>Cuba oval para pia</t>
  </si>
  <si>
    <t>CBMES 347</t>
  </si>
  <si>
    <t>Curativo Estéril Pós Coleta Adulto</t>
  </si>
  <si>
    <t>CBMES 350</t>
  </si>
  <si>
    <t>Cursos e Diarias de Capacitação</t>
  </si>
  <si>
    <t>MAJ QOCBM DANIEL ALVES ZANDONADI, NF 904070</t>
  </si>
  <si>
    <t>156/2026</t>
  </si>
  <si>
    <t>CBMES 354</t>
  </si>
  <si>
    <t>159/2026</t>
  </si>
  <si>
    <t>FUNPDEC 281</t>
  </si>
  <si>
    <t>FUNREBOM 400</t>
  </si>
  <si>
    <t>CURSOS DIÁRIAS</t>
  </si>
  <si>
    <t>FUNPDEC 055</t>
  </si>
  <si>
    <t>Dedetização</t>
  </si>
  <si>
    <t>FUNREBOM 414</t>
  </si>
  <si>
    <t>DEDETIZAÇÃO AUDITORIO CAT</t>
  </si>
  <si>
    <t>102/2026</t>
  </si>
  <si>
    <t>FUNPDEC 086</t>
  </si>
  <si>
    <t>DESCENSOR AUTO BLOCANTE - S</t>
  </si>
  <si>
    <t>FUNREBOM 160</t>
  </si>
  <si>
    <t>DESENGRIPANTE</t>
  </si>
  <si>
    <t>056/2026</t>
  </si>
  <si>
    <t>CBMES 103</t>
  </si>
  <si>
    <t>CBMES 160</t>
  </si>
  <si>
    <t>CBMES 274</t>
  </si>
  <si>
    <t>CBMES 289</t>
  </si>
  <si>
    <t>FUNREBOM 281</t>
  </si>
  <si>
    <t>DESENTUPIDOR DE PIA</t>
  </si>
  <si>
    <t>028/2026</t>
  </si>
  <si>
    <t>FUNREBOM 285</t>
  </si>
  <si>
    <t>DESENTUPIDOR DE VASO</t>
  </si>
  <si>
    <t>FUNREBOM 136</t>
  </si>
  <si>
    <t>DESINFETANTE 500 ML</t>
  </si>
  <si>
    <t>CBMES 203</t>
  </si>
  <si>
    <t>Desinfetante cloreto de alquil dimetil benzil amônio</t>
  </si>
  <si>
    <t>galões 05 litros</t>
  </si>
  <si>
    <t>FUNPDEC 031</t>
  </si>
  <si>
    <t>DESKTOP</t>
  </si>
  <si>
    <t>CBMES 353</t>
  </si>
  <si>
    <t>Desmobilização e mobilização de equipamentos de academia</t>
  </si>
  <si>
    <t>016/2026</t>
  </si>
  <si>
    <t>FUNPDEC 016</t>
  </si>
  <si>
    <t>DESTORCEDOR DE CORDA</t>
  </si>
  <si>
    <t>FUNPDEC 026</t>
  </si>
  <si>
    <t>FUNREBOM 026</t>
  </si>
  <si>
    <t>Detector Ausencia Tensão Tipo:
Sem Contato, Uso: Autoteste, Faixa
Tensão: 1 A 138KV, Aplicação: Rede
De Baixa E Alta Tensão,
Características Adicionais: Com
Indicador Sonoro E Com Indicador
Visual, Faixa De Operação: Baixa:
50v A 1500v Ac, Alta: 1,5kv A
138kv Ac, Alimentação: Bateria 9v</t>
  </si>
  <si>
    <t>FUNREBOM 029</t>
  </si>
  <si>
    <t>FUNREBOM 013</t>
  </si>
  <si>
    <t>FUNPDEC 009</t>
  </si>
  <si>
    <t>Detector Radioatividade</t>
  </si>
  <si>
    <t>FUNREBOM 135</t>
  </si>
  <si>
    <t>DETERGENTE LIQUIDO; NEUTRO; CONTEUDO 500ML</t>
  </si>
  <si>
    <t>CEPDEC 010</t>
  </si>
  <si>
    <t>DIÁRIAS DE CAPACITAÇÃO</t>
  </si>
  <si>
    <t>CEPDEC 009</t>
  </si>
  <si>
    <t xml:space="preserve">DIARIAS DE SERVIÇO </t>
  </si>
  <si>
    <t>CBMES 232</t>
  </si>
  <si>
    <t>Disco Corte (microrretífica)</t>
  </si>
  <si>
    <t>KIT C/ 50 UND</t>
  </si>
  <si>
    <t>CBMES 282</t>
  </si>
  <si>
    <t>CBMES 343</t>
  </si>
  <si>
    <t>CBMES 344</t>
  </si>
  <si>
    <t>FUNPDEC 269</t>
  </si>
  <si>
    <t>DISCO CORTE MADEIRA SERRA CIRCULAR 7"</t>
  </si>
  <si>
    <t>FUNPDEC 271</t>
  </si>
  <si>
    <t>FUNPDEC 278</t>
  </si>
  <si>
    <t>DISCO DE CORTE 4¹/²"</t>
  </si>
  <si>
    <t>FUNPDEC 243</t>
  </si>
  <si>
    <t>DISCO DE CORTE DE METAL CORTADOR A DISCO STHIL</t>
  </si>
  <si>
    <t>FUNPDEC 244</t>
  </si>
  <si>
    <t>DISCO DE CORTE DE PEDRA CORTADOR A DISCO STHIL</t>
  </si>
  <si>
    <t>FUNPDEC 195</t>
  </si>
  <si>
    <t>DISCO DIAMANTADO CORTADOR A DISCO STHIL</t>
  </si>
  <si>
    <t>FUNPDEC 128</t>
  </si>
  <si>
    <t xml:space="preserve">Disco Rígido Removível SSD 
</t>
  </si>
  <si>
    <t>FUNREBOM 440</t>
  </si>
  <si>
    <t>Disjuntor bipolar 16A</t>
  </si>
  <si>
    <t>FUNREBOM 441</t>
  </si>
  <si>
    <t>Disjuntor bipolar 20A</t>
  </si>
  <si>
    <t>FUNREBOM 437</t>
  </si>
  <si>
    <t>Disjuntor bipolar 32A</t>
  </si>
  <si>
    <t>FUNREBOM 420</t>
  </si>
  <si>
    <t>Disjuntor IN 25A DRS</t>
  </si>
  <si>
    <t>FUNREBOM 442</t>
  </si>
  <si>
    <t>Disjuntor monopolar 10A</t>
  </si>
  <si>
    <t>FUNREBOM 443</t>
  </si>
  <si>
    <t>Disjuntor monopolar 16A</t>
  </si>
  <si>
    <t>FUNREBOM 444</t>
  </si>
  <si>
    <t>Disjuntor monopolar 20A</t>
  </si>
  <si>
    <t>FUNREBOM 439</t>
  </si>
  <si>
    <t>Disjuntor tripolar 32A</t>
  </si>
  <si>
    <t>FUNREBOM 434</t>
  </si>
  <si>
    <t>Disjuntor tripolar 50A</t>
  </si>
  <si>
    <t>FUNREBOM 435</t>
  </si>
  <si>
    <t>Disjuntor tripolar 63A</t>
  </si>
  <si>
    <t>FUNREBOM 430</t>
  </si>
  <si>
    <t>Disjuntor tripolar 70A</t>
  </si>
  <si>
    <t>FUNREBOM 241</t>
  </si>
  <si>
    <t>DISPENSER PAPEL HIGIENICO ROLAO</t>
  </si>
  <si>
    <t>FUNREBOM 236</t>
  </si>
  <si>
    <t>DISPENSER PAPEL TOALHA</t>
  </si>
  <si>
    <t>FUNREBOM 294</t>
  </si>
  <si>
    <t>DISPENSER PARA SABONETE LÍQUIDO</t>
  </si>
  <si>
    <t>CBMES 166</t>
  </si>
  <si>
    <t>DIVISÓRIA - EUCATEX NAVAL</t>
  </si>
  <si>
    <t>FUNREBOM 238</t>
  </si>
  <si>
    <t>DUCHA HIGIENICA</t>
  </si>
  <si>
    <t>FUNREBOM 227</t>
  </si>
  <si>
    <t>DUMBELL SEXTAVADO 16 KG</t>
  </si>
  <si>
    <t>Aparelhos e Equipamentos para Esportes e Diversos</t>
  </si>
  <si>
    <t>FUNREBOM 244</t>
  </si>
  <si>
    <t>CBMES 015</t>
  </si>
  <si>
    <t>Edição / impressão - diário oficial / justiça - DIO</t>
  </si>
  <si>
    <t>91 - APLICAÇÃO DIRETA DECORRENTE DE OPERAÇÃO ENTRE ÓRGÃOS, FUNDOS E ENTIDADES INTEGRANTES DOS ORÇAMENTOS FISCAL E DA SEGURIDADE SOCIAL</t>
  </si>
  <si>
    <t>CAP QOABM GIOVANI SOARES BONELA, NF 643066 / CB BM LEHI NAZARETH DA COSTA, NF 2778637</t>
  </si>
  <si>
    <t>Serviços de Comunicação em Geral</t>
  </si>
  <si>
    <t>FUNREBOM 374</t>
  </si>
  <si>
    <t>ELASTICO DE LATEX - 25 G</t>
  </si>
  <si>
    <t>CBMES 252</t>
  </si>
  <si>
    <t>Eletrodo fisioterápico</t>
  </si>
  <si>
    <t>FUNREBOM 094</t>
  </si>
  <si>
    <t>ELETRODO PARA DEA ADULTO</t>
  </si>
  <si>
    <t>041/2026</t>
  </si>
  <si>
    <t>FUNREBOM 099</t>
  </si>
  <si>
    <t>ELETRODO PARA DEA INFANTIL</t>
  </si>
  <si>
    <t>FUNREBOM 009</t>
  </si>
  <si>
    <t>ELEVADOR AUTOMOTIVO</t>
  </si>
  <si>
    <t>140/2026</t>
  </si>
  <si>
    <t>FUNPDEC 030</t>
  </si>
  <si>
    <t>Embarcação de salvamento (mergulho)</t>
  </si>
  <si>
    <t>123/2026</t>
  </si>
  <si>
    <t>FUNREBOM 418</t>
  </si>
  <si>
    <t>UECI</t>
  </si>
  <si>
    <t>EMISSÃO DE CERTIFICADO DIGITAL A3 (e-CPF), COM TOKEN</t>
  </si>
  <si>
    <t>148/2026</t>
  </si>
  <si>
    <t>CBMES 013</t>
  </si>
  <si>
    <t>Energia Elétrica - Fornecimento Mercado Regulado - EDP</t>
  </si>
  <si>
    <t>Contrato energia elétrica</t>
  </si>
  <si>
    <t>CBMES 196</t>
  </si>
  <si>
    <t>ENFORCADOR PARA CAPTURA DE ANIMAIS</t>
  </si>
  <si>
    <t>011/2026</t>
  </si>
  <si>
    <t>FUNPDEC 212</t>
  </si>
  <si>
    <t>CBMES 218</t>
  </si>
  <si>
    <t>CBMES 237</t>
  </si>
  <si>
    <t>CBMES 256</t>
  </si>
  <si>
    <t>CBMES 336</t>
  </si>
  <si>
    <t>FUNREBOM 340</t>
  </si>
  <si>
    <t>ENVELOPE PARDO TIMBRADO</t>
  </si>
  <si>
    <t>FUNPDEC 163</t>
  </si>
  <si>
    <t>ENXADA</t>
  </si>
  <si>
    <t>FUNPDEC 249</t>
  </si>
  <si>
    <t>ENXADÃO</t>
  </si>
  <si>
    <t>CBMES 150</t>
  </si>
  <si>
    <t>EPI para BREC (cotoveleira)</t>
  </si>
  <si>
    <t>CBMES 084</t>
  </si>
  <si>
    <t>EPI para BREC (joelheira)</t>
  </si>
  <si>
    <t>CBMES 142</t>
  </si>
  <si>
    <t>CBMES 181</t>
  </si>
  <si>
    <t>Equipamento / Acessório Animal
Tipo: Cambão, Material:
Alumínio/Aço Inox, Comprimento:
1,50M, Tipo De Cabo: Regulável,
Comprimento Fixo, Características
Adicionais: Com Punho Formato "I",
Com Dispositivo De Travamen,
Aplicação: Manejo De Espécies De
Animais Em Ambientes Confina</t>
  </si>
  <si>
    <t>CBMES 219</t>
  </si>
  <si>
    <t>Equipamento / Acessório Animal
Tipo: Pinção, Material: Alumínio/Aço
Inox, Comprimento: 1,20M, Tipo De
Cabo: Emborrachado, Ponta
Articulada, Tipo Boca Abre E,
Aplicação: Captura De Serpentes E
Animais De Pequeno Porte</t>
  </si>
  <si>
    <t>CBMES 220</t>
  </si>
  <si>
    <t>Equipamento / Acessório Animal Tipo: Gancho Para Serpentes</t>
  </si>
  <si>
    <t>CBMES 122</t>
  </si>
  <si>
    <t>Equipamento / acessórios desporto (nadadeira aberta)</t>
  </si>
  <si>
    <t>CBMES 088</t>
  </si>
  <si>
    <t>Equipamento / acessórios desporto (sled para motoáquatica)</t>
  </si>
  <si>
    <t>051/2026</t>
  </si>
  <si>
    <t>CBMES 089</t>
  </si>
  <si>
    <t>FUNREBOM 035</t>
  </si>
  <si>
    <t>EQUIPAMENTOS DE COMUNICAÇÃO</t>
  </si>
  <si>
    <t>FUNPDEC 282</t>
  </si>
  <si>
    <t>Equipamentos operacionais para enxurradas</t>
  </si>
  <si>
    <t xml:space="preserve">2025-0NCLC </t>
  </si>
  <si>
    <t>FUNPDEC 158</t>
  </si>
  <si>
    <t>ESCADA DOBRÁVEL 16 DEGRAUS</t>
  </si>
  <si>
    <t>061/2026</t>
  </si>
  <si>
    <t>FUNREBOM 303</t>
  </si>
  <si>
    <t>FUNREBOM 304</t>
  </si>
  <si>
    <t>FUNREBOM 305</t>
  </si>
  <si>
    <t>FUNREBOM 337</t>
  </si>
  <si>
    <t>Escada Doméstica Alumínio 5 Degraus Reforçada 150kg, com suporte para ferramentas, lampadas, balde e pés anti-derrapantes.</t>
  </si>
  <si>
    <t>FUNREBOM 338</t>
  </si>
  <si>
    <t>Escada Doméstica Alumínio 7 Degraus Reforçada 150kg, com suporte para ferramentas, lampadas, balde e pés anti-derrapantes.</t>
  </si>
  <si>
    <t>CBMES 077</t>
  </si>
  <si>
    <t>CBMES 143</t>
  </si>
  <si>
    <t>CBMES 302</t>
  </si>
  <si>
    <t>ESCOVA ABRASIVA PARA LIMPAR CORDA DE SALVAMENTO</t>
  </si>
  <si>
    <t>FUNREBOM 274</t>
  </si>
  <si>
    <t>ESCOVA PARA VASO SANITARIO</t>
  </si>
  <si>
    <t>FUNREBOM 081</t>
  </si>
  <si>
    <t>SCAR</t>
  </si>
  <si>
    <t>ESCRITURA DE DOAÇÃO</t>
  </si>
  <si>
    <t>CAP QOABM RR SAULO DE TARCIO CORREA LIMA, NF 900798</t>
  </si>
  <si>
    <t>CARTORIO</t>
  </si>
  <si>
    <t>CARTÓRIO E DOCUMENTAÇÕES</t>
  </si>
  <si>
    <t>FUNPDEC 162</t>
  </si>
  <si>
    <t>ESFIGMOMANÔMETRO ANALÓGICO ADULTO</t>
  </si>
  <si>
    <t>036/2026</t>
  </si>
  <si>
    <t>CBMES 262</t>
  </si>
  <si>
    <t>FUNPDEC 226</t>
  </si>
  <si>
    <t>ESFIGMOMANÔMETRO ANALÓGICO INFANTIL</t>
  </si>
  <si>
    <t>CBMES 263</t>
  </si>
  <si>
    <t>FUNREBOM 193</t>
  </si>
  <si>
    <t>ESGUICHO ATOMIZADO TIPO PISTOLA 38MM</t>
  </si>
  <si>
    <t>FUNPDEC 182</t>
  </si>
  <si>
    <t>ESGUICHO JATO REGULÁVEL 38MM</t>
  </si>
  <si>
    <t>FUNREBOM 268</t>
  </si>
  <si>
    <t>ESPANADOR</t>
  </si>
  <si>
    <t>FUNREBOM 215</t>
  </si>
  <si>
    <t>ESPARADRAPO</t>
  </si>
  <si>
    <t>CBMES 284</t>
  </si>
  <si>
    <t>Espelho - Comprimento: 140CM, Largura: 90CM,</t>
  </si>
  <si>
    <t>FUNREBOM 245</t>
  </si>
  <si>
    <t>ESPELHO MATERIAL: VIDRO 220CM, LARGURA: 90CM</t>
  </si>
  <si>
    <t>FUNREBOM 257</t>
  </si>
  <si>
    <t>ESPELHO MATERIAL: VIDRO CRISTAL BIZOTADO 80CM 70CM</t>
  </si>
  <si>
    <t>FUNREBOM 394</t>
  </si>
  <si>
    <t>ESPELHOS CADASTRAIS</t>
  </si>
  <si>
    <t>FUNREBOM 231</t>
  </si>
  <si>
    <t>ESPONJA AUTOMOTIVA</t>
  </si>
  <si>
    <t>FUNREBOM 327</t>
  </si>
  <si>
    <t>ESPONJA LÃ DE AÇO</t>
  </si>
  <si>
    <t>PACOTE (8 UN)</t>
  </si>
  <si>
    <t>FUNREBOM 149</t>
  </si>
  <si>
    <t>ESPONJA PARA LIMPEZA</t>
  </si>
  <si>
    <t>FUNPDEC 153</t>
  </si>
  <si>
    <t>ESPORA PARA CORTE DE ARVORE</t>
  </si>
  <si>
    <t>CBMES 109</t>
  </si>
  <si>
    <t>CBMES 136</t>
  </si>
  <si>
    <t>FUNREBOM 308</t>
  </si>
  <si>
    <t>ESPREMEDOR DE FRUTA 127V</t>
  </si>
  <si>
    <t>FUNPDEC 267</t>
  </si>
  <si>
    <t>ESQUADRO</t>
  </si>
  <si>
    <t>FUNPDEC 247</t>
  </si>
  <si>
    <t>FUNREBOM 360</t>
  </si>
  <si>
    <t>Estação de trabalho em " L "</t>
  </si>
  <si>
    <t>CBMES 178</t>
  </si>
  <si>
    <t>ESTETOSCÓPIO</t>
  </si>
  <si>
    <t>FUNREBOM 240</t>
  </si>
  <si>
    <t>ESTILETE LARGO</t>
  </si>
  <si>
    <t>FUNREBOM 191</t>
  </si>
  <si>
    <t>ESTOPA (EMBALAGEM 1KG).</t>
  </si>
  <si>
    <t>FUNPDEC 139</t>
  </si>
  <si>
    <t>ESTRIBO DE FITA</t>
  </si>
  <si>
    <t>CBMES 001</t>
  </si>
  <si>
    <t>Exame Médico para CNH</t>
  </si>
  <si>
    <t>93 - INDENIZAÇÕES E RESTITUIÇÕES</t>
  </si>
  <si>
    <t>CNH</t>
  </si>
  <si>
    <t>Serviços Médico-Hospitalares, Odontológicos e Laboratoriais</t>
  </si>
  <si>
    <t>CBMES 002</t>
  </si>
  <si>
    <t>Exame Psicológico para CNH</t>
  </si>
  <si>
    <t>CBMES 012</t>
  </si>
  <si>
    <t>Exame Toxicológico para CNH</t>
  </si>
  <si>
    <t>2026-02X5H</t>
  </si>
  <si>
    <t>FUNPDEC 013</t>
  </si>
  <si>
    <t>Exaustor/insuflador De Ar Para Espaço Confinado</t>
  </si>
  <si>
    <t>112/2026</t>
  </si>
  <si>
    <t>CBMES 258</t>
  </si>
  <si>
    <t>Exercitador elástico extraforte</t>
  </si>
  <si>
    <t>Material Educativo e Esportivo</t>
  </si>
  <si>
    <t>CBMES 329</t>
  </si>
  <si>
    <t>Exercitador elástico extraleve</t>
  </si>
  <si>
    <t>CBMES 266</t>
  </si>
  <si>
    <t>Exercitador elástico forte</t>
  </si>
  <si>
    <t>CBMES 306</t>
  </si>
  <si>
    <t>Exercitador elástico leve</t>
  </si>
  <si>
    <t>CBMES 268</t>
  </si>
  <si>
    <t>Exercitador elástico médio</t>
  </si>
  <si>
    <t>FUNPDEC 156</t>
  </si>
  <si>
    <t>EXTENSÃO 30M</t>
  </si>
  <si>
    <t>CBMES 345</t>
  </si>
  <si>
    <t>Extensão Elétrica Flexível, Comprimento: 3M, 4 Tomadas Fêmeas E Plugue Macho</t>
  </si>
  <si>
    <t>FUNREBOM 366</t>
  </si>
  <si>
    <t>EXTRATOR DE GRAMPO</t>
  </si>
  <si>
    <t>Fabrica de Software</t>
  </si>
  <si>
    <t>CBMES 331</t>
  </si>
  <si>
    <t>Faca Aço Inoxidável - serrilhada</t>
  </si>
  <si>
    <t>FUNREBOM 235</t>
  </si>
  <si>
    <t>FACÃO COM BAINHA</t>
  </si>
  <si>
    <t>FUNPDEC 203</t>
  </si>
  <si>
    <t>FUNPDEC 141</t>
  </si>
  <si>
    <t>FUNREBOM 209</t>
  </si>
  <si>
    <t>FECHADURA DE PORTA SIMPLES</t>
  </si>
  <si>
    <t>FUNREBOM 202</t>
  </si>
  <si>
    <t>FILTRO DE AGUA SOFT</t>
  </si>
  <si>
    <t>FUNREBOM 203</t>
  </si>
  <si>
    <t>FILTRO REFIL PARA PURIFICADOR DE AGUA; MODELO BDF 300</t>
  </si>
  <si>
    <t>FUNREBOM 422</t>
  </si>
  <si>
    <t>Fio flexível 2,5 mm²</t>
  </si>
  <si>
    <t>FUNREBOM 269</t>
  </si>
  <si>
    <t>FIO FLEXIVEL 2,5MM</t>
  </si>
  <si>
    <t>FUNPDEC 231</t>
  </si>
  <si>
    <t>FUNREBOM 421</t>
  </si>
  <si>
    <t>Fio flexível 4 mm²</t>
  </si>
  <si>
    <t>FUNPDEC 266</t>
  </si>
  <si>
    <t>FIO FLEXIVEL 4,0MM</t>
  </si>
  <si>
    <t>FUNREBOM 415</t>
  </si>
  <si>
    <t>Fio flexível 6 mm²</t>
  </si>
  <si>
    <t>FUNREBOM 246</t>
  </si>
  <si>
    <t>FIO FLEXIVEL 6,0MM</t>
  </si>
  <si>
    <t>FUNREBOM 053</t>
  </si>
  <si>
    <t>Firewall</t>
  </si>
  <si>
    <t>161/2026</t>
  </si>
  <si>
    <t>FUNREBOM 344</t>
  </si>
  <si>
    <t>FITA ADESIVA PLASTICA FACE SIMPLES; LARGURA: 12 MM</t>
  </si>
  <si>
    <t>FUNREBOM 187</t>
  </si>
  <si>
    <t>FITA CREPE</t>
  </si>
  <si>
    <t>FUNREBOM 250</t>
  </si>
  <si>
    <t>FITA DUPLA FACE</t>
  </si>
  <si>
    <t>FUNREBOM 427</t>
  </si>
  <si>
    <t>Fita isolante</t>
  </si>
  <si>
    <t>FUNREBOM 306</t>
  </si>
  <si>
    <t>FITA ISOLANTE ROLO 19MM X 20M</t>
  </si>
  <si>
    <t>FUNREBOM 216</t>
  </si>
  <si>
    <t>FITA PARA EMPACOTAMENTO</t>
  </si>
  <si>
    <t>CBMES 265</t>
  </si>
  <si>
    <t>Fita tubular 22kn 150cm</t>
  </si>
  <si>
    <t>CBMES 233</t>
  </si>
  <si>
    <t>Fita tubular 22kn 200cm</t>
  </si>
  <si>
    <t>FUNPDEC 179</t>
  </si>
  <si>
    <t>FITA TUBULAR DE SALVAMENTO</t>
  </si>
  <si>
    <t>FUNPDEC 137</t>
  </si>
  <si>
    <t>Fita tubular: anel de 100cm</t>
  </si>
  <si>
    <t>FUNPDEC 197</t>
  </si>
  <si>
    <t>FUNPDEC 129</t>
  </si>
  <si>
    <t>Fita tubular: anel de 120cm</t>
  </si>
  <si>
    <t>FUNPDEC 191</t>
  </si>
  <si>
    <t>FUNPDEC 121</t>
  </si>
  <si>
    <t>Fita tubular: anel de 150cm</t>
  </si>
  <si>
    <t>FUNPDEC 189</t>
  </si>
  <si>
    <t>FUNPDEC 157</t>
  </si>
  <si>
    <t>Fita tubular: anel de 200cm</t>
  </si>
  <si>
    <t>FUNPDEC 183</t>
  </si>
  <si>
    <t>FUNPDEC 257</t>
  </si>
  <si>
    <t>FITA ZEBRADA</t>
  </si>
  <si>
    <t>FUNREBOM 178</t>
  </si>
  <si>
    <t>FLANELA</t>
  </si>
  <si>
    <t>CBMES 293</t>
  </si>
  <si>
    <t>FLIP CHART 0,70m x 1,00m</t>
  </si>
  <si>
    <t>FUNPDEC 230</t>
  </si>
  <si>
    <t>FLIPCHART</t>
  </si>
  <si>
    <t>CBMES 068</t>
  </si>
  <si>
    <t>FLUTUADOR TIPO LIFE BELT</t>
  </si>
  <si>
    <t>CBMES 123</t>
  </si>
  <si>
    <t>FUNPDEC 088</t>
  </si>
  <si>
    <t>CBMES 234</t>
  </si>
  <si>
    <t>Fonte de Calor - Heat Pack</t>
  </si>
  <si>
    <t>049/2026</t>
  </si>
  <si>
    <t>CBMES 014</t>
  </si>
  <si>
    <t>Fornecimento de água canalizada - CESAN</t>
  </si>
  <si>
    <t>Contrato de fornecimento de água</t>
  </si>
  <si>
    <t>CBMES 017</t>
  </si>
  <si>
    <t>Fornecimento de água canalizada - SAAE LINHARES</t>
  </si>
  <si>
    <t>1º TEN RR ROGERIO RODRIGUES DA SILVA, NF 899425 / ST BM LEONARDO BELTRAO ROSA , NF 903763</t>
  </si>
  <si>
    <t>CBMES 016</t>
  </si>
  <si>
    <t>Fornecimento de água canalizada - SAAE SÃO MATEUS</t>
  </si>
  <si>
    <t>1º SGT BM  GABRIELA DE SOUZA FONTES, NF 2777630 / 2º TEN QOABM MARCIO DE AZEVEDO DA SILVA, NF 902436</t>
  </si>
  <si>
    <t>FUNPDEC 091</t>
  </si>
  <si>
    <t>Fraldão de salvamento</t>
  </si>
  <si>
    <t>CBMES 130</t>
  </si>
  <si>
    <t>FRALDÃO DE SALVAMENTO</t>
  </si>
  <si>
    <t>CBMES 131</t>
  </si>
  <si>
    <t>FUNPDEC 145</t>
  </si>
  <si>
    <t>Freio oito</t>
  </si>
  <si>
    <t>FUNPDEC 004</t>
  </si>
  <si>
    <t>Frota</t>
  </si>
  <si>
    <t>Aquisição de Frota para a CEPDEC</t>
  </si>
  <si>
    <t>FUNPDEC 186</t>
  </si>
  <si>
    <t>GAIOLA PARA CAPTURA DE ANIMAIS</t>
  </si>
  <si>
    <t>FUNPDEC 213</t>
  </si>
  <si>
    <t>GANCHO CAPTURA DE COBRA</t>
  </si>
  <si>
    <t>FUNREBOM 113</t>
  </si>
  <si>
    <t>GANDOLA; MATERIAL: FARDA</t>
  </si>
  <si>
    <t>FUNPDEC 210</t>
  </si>
  <si>
    <t>GARRAFA TERMICA 5 L</t>
  </si>
  <si>
    <t>CBMES 206</t>
  </si>
  <si>
    <t>GARRAFA TÉRMICA 5L</t>
  </si>
  <si>
    <t>CBMES 276</t>
  </si>
  <si>
    <t>CBMES 317</t>
  </si>
  <si>
    <t>CBMES 230</t>
  </si>
  <si>
    <t xml:space="preserve">Garrafa Térmica Aço Inoxidável - Capacidade: 3 L
</t>
  </si>
  <si>
    <t>FUNREBOM 171</t>
  </si>
  <si>
    <t>GARRAFA TÉRMICA INOX 1,8L (UNIDADE)</t>
  </si>
  <si>
    <t>CBMES 037</t>
  </si>
  <si>
    <t>garrafa térmica para café INOX 1,5 LITROS</t>
  </si>
  <si>
    <t>CBMES 035</t>
  </si>
  <si>
    <t>garrafa térmica para café INOX 2,5 LITROS</t>
  </si>
  <si>
    <t>CBMES 065</t>
  </si>
  <si>
    <t>Gaze de metro (4 metros)</t>
  </si>
  <si>
    <t>FUNREBOM 222</t>
  </si>
  <si>
    <t>GEL LIMPA PNEU 500ML</t>
  </si>
  <si>
    <t>FUNPDEC 010</t>
  </si>
  <si>
    <t>GERADOR 6500</t>
  </si>
  <si>
    <t>FUNPDEC 008</t>
  </si>
  <si>
    <t>GERADOR CORRENTE CONTINUA 3000</t>
  </si>
  <si>
    <t>FUNPDEC 005</t>
  </si>
  <si>
    <t>GPS DIGITAL</t>
  </si>
  <si>
    <t>071/2026</t>
  </si>
  <si>
    <t>Aparelhos de Medição e Orientação</t>
  </si>
  <si>
    <t>2026-JN4WG</t>
  </si>
  <si>
    <t>CBMES 046</t>
  </si>
  <si>
    <t>CBMES 061</t>
  </si>
  <si>
    <t>FUNPDEC 007</t>
  </si>
  <si>
    <t>Gráfica - Comunicação Visual</t>
  </si>
  <si>
    <t>Serviços Gráficos</t>
  </si>
  <si>
    <t>FUNREBOM 377</t>
  </si>
  <si>
    <t>GRAFITE PARA LAPISEIRA 0,5MM (CAIXA 12 UNIDADES)</t>
  </si>
  <si>
    <t>FUNREBOM 365</t>
  </si>
  <si>
    <t>GRAFITE PARA LAPISEIRA 0,7MM (CAIXA 12 UNIDADES)</t>
  </si>
  <si>
    <t>FUNREBOM 300</t>
  </si>
  <si>
    <t>grama</t>
  </si>
  <si>
    <t>FUNREBOM 283</t>
  </si>
  <si>
    <t>GRAMPEADOR</t>
  </si>
  <si>
    <t>FUNREBOM 280</t>
  </si>
  <si>
    <t>GRAMPO PARA GRAMPEADOR</t>
  </si>
  <si>
    <t>CBMES 247</t>
  </si>
  <si>
    <t>Graxa</t>
  </si>
  <si>
    <t>Unidade 1 KG</t>
  </si>
  <si>
    <t>FUNREBOM 261</t>
  </si>
  <si>
    <t>GUARDANAPO DE PAPEL; LARGURA: 24 CM; COMPRIMENTO: 22 CM</t>
  </si>
  <si>
    <t>PACOTE</t>
  </si>
  <si>
    <t>CBMES 133</t>
  </si>
  <si>
    <t>GUINCHO ELÉTRICO PARA VEICULO UTILITARIO 16000LB 7257 KG 12V</t>
  </si>
  <si>
    <t>118/2026</t>
  </si>
  <si>
    <t>FUNREBOM 102</t>
  </si>
  <si>
    <t>HIPOCLORITO DE SÓDIO</t>
  </si>
  <si>
    <t>Hora Máquina</t>
  </si>
  <si>
    <t>Hrs</t>
  </si>
  <si>
    <t>FUNREBOM 098</t>
  </si>
  <si>
    <t>IMOBILIZADOR DE CABEÇA HEAD BLOCK</t>
  </si>
  <si>
    <t>CBMES 043</t>
  </si>
  <si>
    <t>Impressão Gráfica e Comunicação visual</t>
  </si>
  <si>
    <t>092/2026</t>
  </si>
  <si>
    <t>FUNREBOM 077</t>
  </si>
  <si>
    <t>INSTALAÇÃO / MANUTENÇÃO - EQUIPAMENTO CONTROLE ACESSO PESSOAL</t>
  </si>
  <si>
    <t>SERVIÇO</t>
  </si>
  <si>
    <t>FUNREBOM 085</t>
  </si>
  <si>
    <t>Instalação / Manutenção - Peça / Acessório de moto mecanizados e embarcações</t>
  </si>
  <si>
    <t>Contratos de manutenção para veiculos e embarcações</t>
  </si>
  <si>
    <t>2025-D7SMC</t>
  </si>
  <si>
    <t>CBMES 008</t>
  </si>
  <si>
    <t>Instalação / Manutenção - Peça / Acessório de Veículo Automotivo</t>
  </si>
  <si>
    <t>003/2026</t>
  </si>
  <si>
    <t>2026-90KFC</t>
  </si>
  <si>
    <t>DISPENSADO</t>
  </si>
  <si>
    <t>FUNREBOM 083</t>
  </si>
  <si>
    <t>FUNREBOM 328</t>
  </si>
  <si>
    <t>Instalação Persiana Vertical Cor Branca em PVC 130(alt.)x100(comp.)cm</t>
  </si>
  <si>
    <t>095/2026</t>
  </si>
  <si>
    <t>FUNREBOM 346</t>
  </si>
  <si>
    <t>Instalação Persiana Vertical Cor Branca em PVC 140(alt.)x170(comp.)cm</t>
  </si>
  <si>
    <t>FUNREBOM 347</t>
  </si>
  <si>
    <t>FUNREBOM 352</t>
  </si>
  <si>
    <t>Interruptor manual</t>
  </si>
  <si>
    <t>FUNPDEC 107</t>
  </si>
  <si>
    <t>ITENS DE LIMPEZA E CONSUMO MERGULHO</t>
  </si>
  <si>
    <t>115/2026</t>
  </si>
  <si>
    <t>CBMES 269</t>
  </si>
  <si>
    <t>Jarra aço inoxidável com tampa - Capacidade: 2L</t>
  </si>
  <si>
    <t>CBMES 311</t>
  </si>
  <si>
    <t>Jarra Com Tampa, Bico, Aparador</t>
  </si>
  <si>
    <t>FUNREBOM 259</t>
  </si>
  <si>
    <t>JARRA DE VIDRO 1,5L (UNIDADE)</t>
  </si>
  <si>
    <t>FUNREBOM 288</t>
  </si>
  <si>
    <t>JARRA GRADUADA 1L (UNIDADE)</t>
  </si>
  <si>
    <t>FUNREBOM 370</t>
  </si>
  <si>
    <t>Jogo Bits Com Martelete Impacto</t>
  </si>
  <si>
    <t>FUNREBOM 395</t>
  </si>
  <si>
    <t>Jogo Chaves Fenda</t>
  </si>
  <si>
    <t>FUNREBOM 396</t>
  </si>
  <si>
    <t>CBMES 316</t>
  </si>
  <si>
    <t>Jogo de panela para fogão a gás</t>
  </si>
  <si>
    <t>FUNREBOM 392</t>
  </si>
  <si>
    <t>JOGO DE PASTILHA DE FREIO</t>
  </si>
  <si>
    <t>142/2026</t>
  </si>
  <si>
    <t>CBMES 038</t>
  </si>
  <si>
    <t>jogo tigela inox Conjunto 5 Pçs; 16cm, 18cm, 20cm, 24cm, 28cm</t>
  </si>
  <si>
    <t>CONJUNTO</t>
  </si>
  <si>
    <t>FUNPDEC 126</t>
  </si>
  <si>
    <t>KIT 12 TATAMES 100X100X4 CM</t>
  </si>
  <si>
    <t>113/2026</t>
  </si>
  <si>
    <t>CBMES 176</t>
  </si>
  <si>
    <t>KIT 5 PANELAS INOX</t>
  </si>
  <si>
    <t>FUNPDEC 199</t>
  </si>
  <si>
    <t>KIT BASE DE PRISMA (10 UN)</t>
  </si>
  <si>
    <t>FUNPDEC 200</t>
  </si>
  <si>
    <t>FUNPDEC 150</t>
  </si>
  <si>
    <t>Kit Batoques infláveis</t>
  </si>
  <si>
    <t>FUNREBOM 130</t>
  </si>
  <si>
    <t>KIT CINTO / TIRANTE PARA PRANCHA LONGA</t>
  </si>
  <si>
    <t>FUNPDEC 003</t>
  </si>
  <si>
    <t>KIT DE BOMBA PARA CAMINHONETE PARA COMBATE A INCÊNDIO FLORESTAL</t>
  </si>
  <si>
    <t>087/2026</t>
  </si>
  <si>
    <t>2026-ZLWW0</t>
  </si>
  <si>
    <t>FUNPDEC 233</t>
  </si>
  <si>
    <t>KIT DE CÂNULA OROFARÍNGEA</t>
  </si>
  <si>
    <t>FUNREBOM 204</t>
  </si>
  <si>
    <t>KIT DESASTRE E TRIAGEM MULTIVÍTIMAS - MÉTODO STAR</t>
  </si>
  <si>
    <t>CBMES 105</t>
  </si>
  <si>
    <t>FUNPDEC 067</t>
  </si>
  <si>
    <t>KIT EPI PARA FRIO PARA ATENDER AS DEMANDAS DO CERD</t>
  </si>
  <si>
    <t>2025-B55RT</t>
  </si>
  <si>
    <t>FUNREBOM 008</t>
  </si>
  <si>
    <t>KIT FERRAMENTAS PARA OFICINA</t>
  </si>
  <si>
    <t>FUNPDEC 063</t>
  </si>
  <si>
    <t>kit lençol (AJUDA HUMANITÁRIA)</t>
  </si>
  <si>
    <t>FUNPDEC 146</t>
  </si>
  <si>
    <t>kit luvas metálicas</t>
  </si>
  <si>
    <t>FUNREBOM 115</t>
  </si>
  <si>
    <t>KIT MOP LIMPEZA DE USO PROFISSIONAL</t>
  </si>
  <si>
    <t>FUNREBOM 147</t>
  </si>
  <si>
    <t>KIT PARA PARTO</t>
  </si>
  <si>
    <t>037/2026</t>
  </si>
  <si>
    <t>FUNREBOM 426</t>
  </si>
  <si>
    <t>Kit para pintura de parede</t>
  </si>
  <si>
    <t>CBMES 214</t>
  </si>
  <si>
    <t>KIT PARTO</t>
  </si>
  <si>
    <t>CBMES 264</t>
  </si>
  <si>
    <t>KIT TALHERES 6x (FACA, GARFO, COLHER, COLHER CAFÉ)</t>
  </si>
  <si>
    <t>CBMES 215</t>
  </si>
  <si>
    <t>lâmpada de led embutir de 18 w</t>
  </si>
  <si>
    <t>006/2026</t>
  </si>
  <si>
    <t>CBMES 229</t>
  </si>
  <si>
    <t>LÂMPADA LED</t>
  </si>
  <si>
    <t>FUNREBOM 192</t>
  </si>
  <si>
    <t>LAMPADA LED PERA 15W</t>
  </si>
  <si>
    <t>CBMES 159</t>
  </si>
  <si>
    <t>LAMPADA LED T8 20w 4.000k</t>
  </si>
  <si>
    <t>FUNREBOM 159</t>
  </si>
  <si>
    <t>LAMPADA LED TUBULAR - 10W</t>
  </si>
  <si>
    <t>FUNREBOM 133</t>
  </si>
  <si>
    <t>LAMPADA LED TUBULAR - 20W</t>
  </si>
  <si>
    <t>CBMES 291</t>
  </si>
  <si>
    <t>LANÇA CHAMAS</t>
  </si>
  <si>
    <t>CBMES 307</t>
  </si>
  <si>
    <t>CBMES 326</t>
  </si>
  <si>
    <t>CBMES 327</t>
  </si>
  <si>
    <t>FUNREBOM 356</t>
  </si>
  <si>
    <t>Lanceta Material Lâmina - Tipo: Com Sistema Retrátil</t>
  </si>
  <si>
    <t>CBMES 059</t>
  </si>
  <si>
    <t>LANCHE PARA O BOM ESTAR</t>
  </si>
  <si>
    <t>079/2026</t>
  </si>
  <si>
    <t>FUNPDEC 225</t>
  </si>
  <si>
    <t>LANTERNA</t>
  </si>
  <si>
    <t>045/2026</t>
  </si>
  <si>
    <t>CBMES 081</t>
  </si>
  <si>
    <t>Lanterna de cabeça a LED</t>
  </si>
  <si>
    <t>FUNPDEC 155</t>
  </si>
  <si>
    <t>lanterna de cabeça a LED</t>
  </si>
  <si>
    <t>CBMES 117</t>
  </si>
  <si>
    <t>CBMES 134</t>
  </si>
  <si>
    <t>CBMES 139</t>
  </si>
  <si>
    <t>CBMES 140</t>
  </si>
  <si>
    <t>CBMES 141</t>
  </si>
  <si>
    <t>CBMES 152</t>
  </si>
  <si>
    <t>CBMES 169</t>
  </si>
  <si>
    <t>FUNREBOM 183</t>
  </si>
  <si>
    <t>LANTERNA PARA AVALIAÇÃO DE PUPILA</t>
  </si>
  <si>
    <t>FUNPDEC 209</t>
  </si>
  <si>
    <t>CBMES 298</t>
  </si>
  <si>
    <t>CBMES 299</t>
  </si>
  <si>
    <t>CBMES 300</t>
  </si>
  <si>
    <t>CBMES 335</t>
  </si>
  <si>
    <t>FUNPDEC 106</t>
  </si>
  <si>
    <t>Lanternas de Mão intrinsecas</t>
  </si>
  <si>
    <t>FUNPDEC 258</t>
  </si>
  <si>
    <t>LAPIS CARPINTEIRO</t>
  </si>
  <si>
    <t>FUNPDEC 274</t>
  </si>
  <si>
    <t>CBMES 328</t>
  </si>
  <si>
    <t>Lápis dermográfico</t>
  </si>
  <si>
    <t>FUNREBOM 359</t>
  </si>
  <si>
    <t>LÁPIS GRAFITE Nº2 (UNIDADE)</t>
  </si>
  <si>
    <t>FUNREBOM 373</t>
  </si>
  <si>
    <t>LAPIS PRETO</t>
  </si>
  <si>
    <t>FUNREBOM 322</t>
  </si>
  <si>
    <t>LAPISEIRA 0,7MM (UNIDADE)</t>
  </si>
  <si>
    <t>CBMES 033</t>
  </si>
  <si>
    <t>Leite LONGA VIDA</t>
  </si>
  <si>
    <t>Caixa 1 L</t>
  </si>
  <si>
    <t>CBMES 301</t>
  </si>
  <si>
    <t>Lençol descartável</t>
  </si>
  <si>
    <t>Pacotes</t>
  </si>
  <si>
    <t>FUNREBOM 004</t>
  </si>
  <si>
    <t>LETREIRO DE IDENTIFICAÇÃO</t>
  </si>
  <si>
    <t>021/2026</t>
  </si>
  <si>
    <t>2026-ZJQ36</t>
  </si>
  <si>
    <t>CBMES 041</t>
  </si>
  <si>
    <t>Licença de Autodesk</t>
  </si>
  <si>
    <t>157/2026</t>
  </si>
  <si>
    <t>2026-XF7TH</t>
  </si>
  <si>
    <t>FUNREBOM 054</t>
  </si>
  <si>
    <t>LICENÇA IA</t>
  </si>
  <si>
    <t>128/2026</t>
  </si>
  <si>
    <t>FUNPDEC 262</t>
  </si>
  <si>
    <t>LIMATÃO</t>
  </si>
  <si>
    <t>FUNREBOM 436</t>
  </si>
  <si>
    <t>Limpa contato elétrico 300 ml</t>
  </si>
  <si>
    <t>FUNREBOM 264</t>
  </si>
  <si>
    <t>LIMPA VIDRO (UNIDADE)</t>
  </si>
  <si>
    <t>FUNPDEC 228</t>
  </si>
  <si>
    <t>Limpador de corda</t>
  </si>
  <si>
    <t>FUNREBOM 131</t>
  </si>
  <si>
    <t>LIMPADOR MULTI-USO</t>
  </si>
  <si>
    <t>CBMES 005</t>
  </si>
  <si>
    <t>Link de dados</t>
  </si>
  <si>
    <t>120/2026</t>
  </si>
  <si>
    <t>Contratos de internet</t>
  </si>
  <si>
    <t>CEPDEC 005</t>
  </si>
  <si>
    <t>Link dedicado ao CIDEC</t>
  </si>
  <si>
    <t>TI: SERVIÇOS DE PROCESSAMENTO DE DADOS</t>
  </si>
  <si>
    <t>FUNPDEC 284</t>
  </si>
  <si>
    <t>Link dedicado de Internet</t>
  </si>
  <si>
    <t>CBMES 318</t>
  </si>
  <si>
    <t>Liquidificador</t>
  </si>
  <si>
    <t>FUNREBOM 096</t>
  </si>
  <si>
    <t>LÍQUIDO GERADOR DE ESPUMA</t>
  </si>
  <si>
    <t>110/2026</t>
  </si>
  <si>
    <t>CBMES 294</t>
  </si>
  <si>
    <t>LIVRO ABIQUIM</t>
  </si>
  <si>
    <t>CBMES 295</t>
  </si>
  <si>
    <t>FUNREBOM 334</t>
  </si>
  <si>
    <t>LIVRO ATA 100 FOLHAS</t>
  </si>
  <si>
    <t>FUNREBOM 330</t>
  </si>
  <si>
    <t>LIVRO PROTOCOLO</t>
  </si>
  <si>
    <t>FUNREBOM 226</t>
  </si>
  <si>
    <t>LIXEIRA PEQUENA</t>
  </si>
  <si>
    <t>Locação de embarcação para Mergulho de Qualificação - CEMAut 2026</t>
  </si>
  <si>
    <t>261/2026</t>
  </si>
  <si>
    <t>CBMES 071</t>
  </si>
  <si>
    <t>Lona</t>
  </si>
  <si>
    <t>008/2026</t>
  </si>
  <si>
    <t>CBMES 098</t>
  </si>
  <si>
    <t>CBMES 099</t>
  </si>
  <si>
    <t>CBMES 100</t>
  </si>
  <si>
    <t>CBMES 188</t>
  </si>
  <si>
    <t>LONA 5X5</t>
  </si>
  <si>
    <t>CBMES 201</t>
  </si>
  <si>
    <t>Lona Material: Polietileno Alta Densidade</t>
  </si>
  <si>
    <t>CBMES 340</t>
  </si>
  <si>
    <t>Lousa Branca E Cortiça, Comprimento: 50CM, Largura: 70CM</t>
  </si>
  <si>
    <t>CBMES 202</t>
  </si>
  <si>
    <t>LUMINÁRIA DE LED PARA EMBUTIR</t>
  </si>
  <si>
    <t>FUNREBOM 287</t>
  </si>
  <si>
    <t>LUSTRA MÓVEIS (UNIDADE 200ML)</t>
  </si>
  <si>
    <t>FUNPDEC 100</t>
  </si>
  <si>
    <t>LUVA DE COMBATE A INCENDIO</t>
  </si>
  <si>
    <t>135/2026</t>
  </si>
  <si>
    <t>FUNREBOM 108</t>
  </si>
  <si>
    <t>LUVA DE PROCEDIMENTO NITRILICA M</t>
  </si>
  <si>
    <t>CAIXA C/ 100 UN</t>
  </si>
  <si>
    <t>FUNREBOM 146</t>
  </si>
  <si>
    <t>LUVA DE PROCEDIMENTO P</t>
  </si>
  <si>
    <t>FUNREBOM 088</t>
  </si>
  <si>
    <t>LUVA DE SALVAMENTO (RASPA)</t>
  </si>
  <si>
    <t>005/2026</t>
  </si>
  <si>
    <t>FUNREBOM 275</t>
  </si>
  <si>
    <t>LUVA DE SEGURANÇA - APICULTOR</t>
  </si>
  <si>
    <t>CBMES 216</t>
  </si>
  <si>
    <t>CBMES 026</t>
  </si>
  <si>
    <t>LUVA DE SEGURANÇA - MISSÕES MILITARES</t>
  </si>
  <si>
    <t>CBMES 349</t>
  </si>
  <si>
    <t>Luva Latex - caixa com 100 unidades</t>
  </si>
  <si>
    <t>FUNPDEC 111</t>
  </si>
  <si>
    <t>LUVA NEOPRENE</t>
  </si>
  <si>
    <t>FUNREBOM 169</t>
  </si>
  <si>
    <t>LUVA PARA LIMPEZA</t>
  </si>
  <si>
    <t>CBMES 024</t>
  </si>
  <si>
    <t>Luva vaqueta</t>
  </si>
  <si>
    <t>CBMES 025</t>
  </si>
  <si>
    <t>par</t>
  </si>
  <si>
    <t>FUNREBOM 401</t>
  </si>
  <si>
    <t>LUVAS DE COMBATE A INCENDIO (FEX FIRE)</t>
  </si>
  <si>
    <t>CBMES 304</t>
  </si>
  <si>
    <t>LUVAS PVC (PAR)</t>
  </si>
  <si>
    <t>CBMES 337</t>
  </si>
  <si>
    <t>FUNPDEC 096</t>
  </si>
  <si>
    <t>Maca Cesto desmontável tipo Mamute</t>
  </si>
  <si>
    <t>068/2026</t>
  </si>
  <si>
    <t>CBMES 132</t>
  </si>
  <si>
    <t>MACA DE RESGATE</t>
  </si>
  <si>
    <t>FUNPDEC 082</t>
  </si>
  <si>
    <t>Maca envelope</t>
  </si>
  <si>
    <t>FUNPDEC 083</t>
  </si>
  <si>
    <t>MACA FLEXÍVEL</t>
  </si>
  <si>
    <t>FUNPDEC 148</t>
  </si>
  <si>
    <t>FUNPDEC 112</t>
  </si>
  <si>
    <t>MACA RÍGIDA TIPO CESTO</t>
  </si>
  <si>
    <t>FUNREBOM 289</t>
  </si>
  <si>
    <t>Macacão (apicultor)</t>
  </si>
  <si>
    <t>CBMES 156</t>
  </si>
  <si>
    <t>MACACÃO APICULTOR</t>
  </si>
  <si>
    <t>FUNREBOM 290</t>
  </si>
  <si>
    <t>CBMES 194</t>
  </si>
  <si>
    <t>CBMES 217</t>
  </si>
  <si>
    <t>CBMES 248</t>
  </si>
  <si>
    <t>FUNPDEC 192</t>
  </si>
  <si>
    <t>Macacão de proteção Química (Nível c)</t>
  </si>
  <si>
    <t>FUNREBOM 132</t>
  </si>
  <si>
    <t>MACACÃO PARA SERVIÇO DE MANUTENÇÃO</t>
  </si>
  <si>
    <t>137/2026</t>
  </si>
  <si>
    <t>FUNREBOM 402</t>
  </si>
  <si>
    <t>MACACO TIPO JACARÉ - 3 TON</t>
  </si>
  <si>
    <t>054/2026</t>
  </si>
  <si>
    <t>FUNREBOM 403</t>
  </si>
  <si>
    <t>FUNREBOM 404</t>
  </si>
  <si>
    <t>FUNPDEC 234</t>
  </si>
  <si>
    <t>MAÇARICO LANÇA CHAMAS A GÁS</t>
  </si>
  <si>
    <t>CBMES 277</t>
  </si>
  <si>
    <t>CBMES 278</t>
  </si>
  <si>
    <t>FUNREBOM 405</t>
  </si>
  <si>
    <t>MALETA FERRAMENTAS: GABINETE METÁLICO 06GAV</t>
  </si>
  <si>
    <t>FUNREBOM 406</t>
  </si>
  <si>
    <t>FUNREBOM 407</t>
  </si>
  <si>
    <t>FUNPDEC 181</t>
  </si>
  <si>
    <t>Malha rápida (formado delta)</t>
  </si>
  <si>
    <t>FUNPDEC 170</t>
  </si>
  <si>
    <t>Malha rápida (formado oval)</t>
  </si>
  <si>
    <t>FUNPDEC 147</t>
  </si>
  <si>
    <t>MALHA RÁPIDA (MAILLON)</t>
  </si>
  <si>
    <t>FUNPDEC 134</t>
  </si>
  <si>
    <t>MANGUEIRA 63mm</t>
  </si>
  <si>
    <t>FUNREBOM 433</t>
  </si>
  <si>
    <t>Mangueira de jardim reforçada siliconada</t>
  </si>
  <si>
    <t>FUNREBOM 298</t>
  </si>
  <si>
    <t>MANGUEIRA SUCÇÃO</t>
  </si>
  <si>
    <t>FUNREBOM 097</t>
  </si>
  <si>
    <t>MANGUEIRA TIPO 4 1.1/2</t>
  </si>
  <si>
    <t>FUNREBOM 100</t>
  </si>
  <si>
    <t>MANGUEIRA TIPO 4 2.1/2</t>
  </si>
  <si>
    <t>FUNREBOM 141</t>
  </si>
  <si>
    <t>MANTA ALUMINIZADA</t>
  </si>
  <si>
    <t>FUNPDEC 235</t>
  </si>
  <si>
    <t>CBMES 290</t>
  </si>
  <si>
    <t>FUNPDEC 154</t>
  </si>
  <si>
    <t>Manual da abiquim</t>
  </si>
  <si>
    <t>FUNREBOM 137</t>
  </si>
  <si>
    <t>Manutenção - Elevador</t>
  </si>
  <si>
    <t>FUNREBOM 060</t>
  </si>
  <si>
    <t>Manutenção / Reforma Predial Colatina</t>
  </si>
  <si>
    <t>CB BM GUSTAVO CORREIA DE JESUS, NF 4152506</t>
  </si>
  <si>
    <t>153/2026</t>
  </si>
  <si>
    <t>2026-13GF0</t>
  </si>
  <si>
    <t>FUNPDEC 051</t>
  </si>
  <si>
    <t>Manutenção Corretiva e Preventiva de Catracas</t>
  </si>
  <si>
    <t>serviço</t>
  </si>
  <si>
    <t>FUNREBOM 084</t>
  </si>
  <si>
    <t>Manutenção de  embarcações</t>
  </si>
  <si>
    <t>264/2026</t>
  </si>
  <si>
    <t>2026-L1G3J</t>
  </si>
  <si>
    <t>FUNREBOM 076</t>
  </si>
  <si>
    <t>Manutenção de Sistemas de Proteção Contra Incêndio CAT com documentos.</t>
  </si>
  <si>
    <t>117/2026</t>
  </si>
  <si>
    <t>Manutenção e Conservação de Máquinas e Equipamentos</t>
  </si>
  <si>
    <t>CBMES 007</t>
  </si>
  <si>
    <t>Manutenção de Veículos Leves e Pesados</t>
  </si>
  <si>
    <t>FUNREBOM 068</t>
  </si>
  <si>
    <t>MANUTENÇÃO EM EMBARCAÇÕES</t>
  </si>
  <si>
    <t>FUNREBOM 074</t>
  </si>
  <si>
    <t>Manutenção Extintores / Mangueiras - Combate Incêndio</t>
  </si>
  <si>
    <t>FUNPDEC 045</t>
  </si>
  <si>
    <t>Manutenção Preventiva e Corretiva Datacenter</t>
  </si>
  <si>
    <t>FUNPDEC 049</t>
  </si>
  <si>
    <t>Manutenção Preventiva e Corretiva de Ar Condicionados</t>
  </si>
  <si>
    <t>FUNPDEC 052</t>
  </si>
  <si>
    <t>Manutenção Preventiva e Corretiva de Elevador</t>
  </si>
  <si>
    <t>FUNPDEC 050</t>
  </si>
  <si>
    <t>Manutenção Preventiva e Corretiva do sistema de Câmera de segurança</t>
  </si>
  <si>
    <t>FUNPDEC 044</t>
  </si>
  <si>
    <t>Manutenção Preventiva e Corretiva Predial</t>
  </si>
  <si>
    <t>FUNPDEC 053</t>
  </si>
  <si>
    <t>Manutenção Preventiva e Corretiva sistema de sonorização</t>
  </si>
  <si>
    <t>FUNPDEC 046</t>
  </si>
  <si>
    <t>Manutenção Preventiva e Corretiva VideoWalls</t>
  </si>
  <si>
    <t>FUNPDEC 048</t>
  </si>
  <si>
    <t>Manutenção Preventiva e Gerador</t>
  </si>
  <si>
    <t>FUNPDEC 011</t>
  </si>
  <si>
    <t>MÁQUINA DE CORTE A PLASMA</t>
  </si>
  <si>
    <t>FUNREBOM 025</t>
  </si>
  <si>
    <t>Máquina De Corte A Plasma 50A</t>
  </si>
  <si>
    <t>FUNPDEC 024</t>
  </si>
  <si>
    <t>Máquina de fumaça</t>
  </si>
  <si>
    <t>FUNPDEC 006</t>
  </si>
  <si>
    <t>MAQUINAS E EQUIPAMENTOS DIVERSOS</t>
  </si>
  <si>
    <t>FUNREBOM 119</t>
  </si>
  <si>
    <t>MARCADOR PARA QUADRO BRANCO CAIXA 12 UNID</t>
  </si>
  <si>
    <t>FUNPDEC 229</t>
  </si>
  <si>
    <t>MARRETA 5KG (SEXTA FEIRA)</t>
  </si>
  <si>
    <t>FUNREBOM 297</t>
  </si>
  <si>
    <t>Martelete</t>
  </si>
  <si>
    <t>058/2026</t>
  </si>
  <si>
    <t>FUNPDEC 151</t>
  </si>
  <si>
    <t>MARTELETE A BATERIA 2,5KG</t>
  </si>
  <si>
    <t>FUNPDEC 114</t>
  </si>
  <si>
    <t>MARTELETE COMBINADO 12KG</t>
  </si>
  <si>
    <t>FUNPDEC 115</t>
  </si>
  <si>
    <t>MARTELETE COMBINADO 5KG</t>
  </si>
  <si>
    <t>FUNPDEC 119</t>
  </si>
  <si>
    <t>MARTELETE DEMOLIDOR 11KG</t>
  </si>
  <si>
    <t>FUNPDEC 104</t>
  </si>
  <si>
    <t>MARTELETE DEMOLIDOR 27KG</t>
  </si>
  <si>
    <t>FUNPDEC 237</t>
  </si>
  <si>
    <t>MARTELO DE UNHA</t>
  </si>
  <si>
    <t>FUNPDEC 261</t>
  </si>
  <si>
    <t>FUNREBOM 129</t>
  </si>
  <si>
    <t>MASCARA CIRURGICA DESCARTAVEL</t>
  </si>
  <si>
    <t>CAIXA (50UN)</t>
  </si>
  <si>
    <t>CBMES 189</t>
  </si>
  <si>
    <t>MASCARA DE PROTEÇÃO FACIAL</t>
  </si>
  <si>
    <t>FUNPDEC 201</t>
  </si>
  <si>
    <t>MÁSCARA FACIAL DE OXIGÊNIO ADULTO</t>
  </si>
  <si>
    <t>FUNPDEC 202</t>
  </si>
  <si>
    <t>MÁSCARA FACIAL DE OXIGÊNIO INFANTIL</t>
  </si>
  <si>
    <t>FUNPDEC 118</t>
  </si>
  <si>
    <t>MASCARA PANORAMICA FACIAL P/ 02 FILTROS com filtros químicos</t>
  </si>
  <si>
    <t>CEPDEC 008</t>
  </si>
  <si>
    <t>MATERIAL DE CONSUMO</t>
  </si>
  <si>
    <t>CBMES 009</t>
  </si>
  <si>
    <t>Material de salvamento aquatico</t>
  </si>
  <si>
    <t xml:space="preserve">2025-VCW43 </t>
  </si>
  <si>
    <t>4º CIA IND</t>
  </si>
  <si>
    <t>CBMES 312</t>
  </si>
  <si>
    <t>material para plastificação</t>
  </si>
  <si>
    <t>FUNPDEC 263</t>
  </si>
  <si>
    <t>MEGAFONE</t>
  </si>
  <si>
    <t>FUNPDEC 027</t>
  </si>
  <si>
    <t>Meia prancha para extração</t>
  </si>
  <si>
    <t>042/2026</t>
  </si>
  <si>
    <t>FUNPDEC 138</t>
  </si>
  <si>
    <t>Microondas</t>
  </si>
  <si>
    <t>FUNPDEC 014</t>
  </si>
  <si>
    <t>FUNREBOM 011</t>
  </si>
  <si>
    <t>DAL</t>
  </si>
  <si>
    <t>MOBILIÁRIO</t>
  </si>
  <si>
    <t>014/2026</t>
  </si>
  <si>
    <t>LICITAÇÃO</t>
  </si>
  <si>
    <t>FUNPDEC 144</t>
  </si>
  <si>
    <t>MOCHILA - ALTURA: 35 CM; COMBATE E RAPEL; CAPACIDADE: 3 L;</t>
  </si>
  <si>
    <t>FUNPDEC 097</t>
  </si>
  <si>
    <t>MOCHILA 80 Litros</t>
  </si>
  <si>
    <t>019/2026</t>
  </si>
  <si>
    <t>CBMES 085</t>
  </si>
  <si>
    <t>MOCHILA 80 LITROS - DEUTER AIRCONTACT</t>
  </si>
  <si>
    <t>CBMES 050</t>
  </si>
  <si>
    <t>MOCHILA COSTAL</t>
  </si>
  <si>
    <t>2025-365TR</t>
  </si>
  <si>
    <t>2º CIA DO  2ºBBM</t>
  </si>
  <si>
    <t>CBMES 051</t>
  </si>
  <si>
    <t>CBMES 042</t>
  </si>
  <si>
    <t>119/2026</t>
  </si>
  <si>
    <t>CBMES 052</t>
  </si>
  <si>
    <t>CBMES 053</t>
  </si>
  <si>
    <t>FUNPDEC 099</t>
  </si>
  <si>
    <t>CBMES 205</t>
  </si>
  <si>
    <t>MOCHILA DE PRIMEIROS SOCORROS</t>
  </si>
  <si>
    <t>FUNPDEC 090</t>
  </si>
  <si>
    <t>MOCHILA PARA CORDA 200M</t>
  </si>
  <si>
    <t>CBMES 092</t>
  </si>
  <si>
    <t>CBMES 114</t>
  </si>
  <si>
    <t>CBMES 115</t>
  </si>
  <si>
    <t>FUNREBOM 121</t>
  </si>
  <si>
    <t>CBMES 239</t>
  </si>
  <si>
    <t>CBMES 279</t>
  </si>
  <si>
    <t>MOITÃO</t>
  </si>
  <si>
    <t>CBMES 280</t>
  </si>
  <si>
    <t>FUNREBOM 262</t>
  </si>
  <si>
    <t>MONOPÉ FOTOGRÁFICO</t>
  </si>
  <si>
    <t>FUNPDEC 246</t>
  </si>
  <si>
    <t>MORDENTE PARA CÃES</t>
  </si>
  <si>
    <t>107/2026</t>
  </si>
  <si>
    <t>FUNPDEC 193</t>
  </si>
  <si>
    <t>mosquetao de aço com rosca</t>
  </si>
  <si>
    <t>FUNPDEC 280</t>
  </si>
  <si>
    <t>MOSQUETÃO DE ALUMÍNIO SEM TRAVA</t>
  </si>
  <si>
    <t>FUNPDEC 122</t>
  </si>
  <si>
    <t>mosquetao de Aluminio trava Rapida Oval</t>
  </si>
  <si>
    <t>FUNPDEC 142</t>
  </si>
  <si>
    <t>MOSQUETÃO HMS</t>
  </si>
  <si>
    <t>CBMES 137</t>
  </si>
  <si>
    <t>CBMES 138</t>
  </si>
  <si>
    <t>FUNPDEC 185</t>
  </si>
  <si>
    <t>MOSQUETÃO TIPO D/OVAL</t>
  </si>
  <si>
    <t>FUNREBOM 323</t>
  </si>
  <si>
    <t>FUNPDEC 135</t>
  </si>
  <si>
    <t>MOTOBOMBA DE ÁGUA SUJA</t>
  </si>
  <si>
    <t>129/2026</t>
  </si>
  <si>
    <t>FUNPDEC 110</t>
  </si>
  <si>
    <t>Mouse Computador</t>
  </si>
  <si>
    <t>CBMES 333</t>
  </si>
  <si>
    <t>Multímetro</t>
  </si>
  <si>
    <t>069/2026</t>
  </si>
  <si>
    <t>CBMES 334</t>
  </si>
  <si>
    <t>CBMES 210</t>
  </si>
  <si>
    <t>MULTIMETRO DIGITAL</t>
  </si>
  <si>
    <t>CBMES 211</t>
  </si>
  <si>
    <t>CBMES 212</t>
  </si>
  <si>
    <t>CBMES 267</t>
  </si>
  <si>
    <t>FUNREBOM 139</t>
  </si>
  <si>
    <t>Munição de Defesa, Tipo Real.</t>
  </si>
  <si>
    <t>106/2026</t>
  </si>
  <si>
    <t>Explosivos e Munições</t>
  </si>
  <si>
    <t>FUNREBOM 144</t>
  </si>
  <si>
    <t>Munição de Treinamento, NTA.</t>
  </si>
  <si>
    <t>FUNREBOM 039</t>
  </si>
  <si>
    <t xml:space="preserve">Muro contenção 6ºBBM Cariacica </t>
  </si>
  <si>
    <t xml:space="preserve">2025-KDKD1 </t>
  </si>
  <si>
    <t>Benfeitorias e manutenção predial geral</t>
  </si>
  <si>
    <t>FUNPDEC 081</t>
  </si>
  <si>
    <t>NADADEIRA (PAR)</t>
  </si>
  <si>
    <t>CBMES 094</t>
  </si>
  <si>
    <t>CBMES 095</t>
  </si>
  <si>
    <t>FUNPDEC 277</t>
  </si>
  <si>
    <t>NIVEL DE BOLHA 30cm</t>
  </si>
  <si>
    <t>CBMES 070</t>
  </si>
  <si>
    <t>Normas da ABNT</t>
  </si>
  <si>
    <t>Contratação de normas ABNT</t>
  </si>
  <si>
    <t>2025-WS9B8</t>
  </si>
  <si>
    <t xml:space="preserve">Quantidade Estimada </t>
  </si>
  <si>
    <t>OBRA PAB BAIXO GUANDU</t>
  </si>
  <si>
    <t>2025-2RSSS</t>
  </si>
  <si>
    <t>FUNREBOM 221</t>
  </si>
  <si>
    <t>OCULOS VR (GOOGLE VR)</t>
  </si>
  <si>
    <t>FUNREBOM 195</t>
  </si>
  <si>
    <t>OCULOS VR METAQUEST OU SIMILAR</t>
  </si>
  <si>
    <t>FUNREBOM 207</t>
  </si>
  <si>
    <t>ODORIZADOR</t>
  </si>
  <si>
    <t>CBMES 108</t>
  </si>
  <si>
    <t>Óleo essencial massagem</t>
  </si>
  <si>
    <t>250 ml</t>
  </si>
  <si>
    <t>FUNPDEC 041</t>
  </si>
  <si>
    <t>ORÇAFACIL</t>
  </si>
  <si>
    <t>FUNREBOM 072</t>
  </si>
  <si>
    <t>Organização de Eventos Oficiais</t>
  </si>
  <si>
    <t>082/2026</t>
  </si>
  <si>
    <t>2026-ZJ6RZ</t>
  </si>
  <si>
    <t>FUNPDEC 187</t>
  </si>
  <si>
    <t>OXIMETRO DE PULSO</t>
  </si>
  <si>
    <t>FUNREBOM 123</t>
  </si>
  <si>
    <t>OXIMETRO DIGITAL DE DEDO</t>
  </si>
  <si>
    <t>FUNPDEC 250</t>
  </si>
  <si>
    <t>Pá bico cabo 45cm</t>
  </si>
  <si>
    <t>FUNREBOM 232</t>
  </si>
  <si>
    <t>PA DE LIXO</t>
  </si>
  <si>
    <t>FUNPDEC 161</t>
  </si>
  <si>
    <t>Pallet de Contenção Universal para 4 Tambores</t>
  </si>
  <si>
    <t>Material de Acondicionamento e Embalagem</t>
  </si>
  <si>
    <t>CBMES 259</t>
  </si>
  <si>
    <t>PANELA ANTIADERENTE</t>
  </si>
  <si>
    <t>CBMES 260</t>
  </si>
  <si>
    <t>CBMES 231</t>
  </si>
  <si>
    <t>panela pressão 30L</t>
  </si>
  <si>
    <t>CBMES 244</t>
  </si>
  <si>
    <t>PANELA PRESSÃO ALUMÍNIO ANTIADERENTE</t>
  </si>
  <si>
    <t>CBMES 245</t>
  </si>
  <si>
    <t>CBMES 246</t>
  </si>
  <si>
    <t>FUNREBOM 145</t>
  </si>
  <si>
    <t>PANO DE CHÃO</t>
  </si>
  <si>
    <t>FUNREBOM 311</t>
  </si>
  <si>
    <t>PANO DE PRATO (UNIDADE)</t>
  </si>
  <si>
    <t>CBMES 034</t>
  </si>
  <si>
    <t>Pão de queijo cru congelado</t>
  </si>
  <si>
    <t>Pacote 400 g</t>
  </si>
  <si>
    <t>FUNREBOM 177</t>
  </si>
  <si>
    <t>PAPEL A4 BRANCO ALCALINO</t>
  </si>
  <si>
    <t>PACOTE (500UN)</t>
  </si>
  <si>
    <t>FUNREBOM 161</t>
  </si>
  <si>
    <t>PAPEL CONTACT</t>
  </si>
  <si>
    <t>FUNREBOM 107</t>
  </si>
  <si>
    <t>PAPEL HIGIENICO</t>
  </si>
  <si>
    <t>CBMES 125</t>
  </si>
  <si>
    <t>PAPEL PARA IMPRESSÃO - COUCHÊ brilho - 150 g - A4</t>
  </si>
  <si>
    <t>pacote</t>
  </si>
  <si>
    <t>FUNREBOM 228</t>
  </si>
  <si>
    <t>PAPEL TOALHA EXPURGO</t>
  </si>
  <si>
    <t>FUNREBOM 143</t>
  </si>
  <si>
    <t>PAPEL TOALHA INTERCALADO</t>
  </si>
  <si>
    <t>FUNPDEC 143</t>
  </si>
  <si>
    <t>Parabolt</t>
  </si>
  <si>
    <t>CEPDEC 007</t>
  </si>
  <si>
    <t>Passagem aérea</t>
  </si>
  <si>
    <t>33 - PASSAGENS E DESPESAS COM LOCOMOÇÃO</t>
  </si>
  <si>
    <t>SERVIDORA CIVIL ERIKA AYME ROCHA FROTA, NF 2978520</t>
  </si>
  <si>
    <t>Passagens e despesas com locomoção</t>
  </si>
  <si>
    <t>CBMES 020</t>
  </si>
  <si>
    <t>CAP QOCBM BRUNO MOREIRA BONA, NF 3366170</t>
  </si>
  <si>
    <t>FUNREBOM 335</t>
  </si>
  <si>
    <t>PASTA ABA E ELÁSTICO POLIONDA (UNIDADE)</t>
  </si>
  <si>
    <t>FUNREBOM 341</t>
  </si>
  <si>
    <t>PASTA ABA E ELÁSTICO SEM LOMBO (UNIDADE)</t>
  </si>
  <si>
    <t>FUNREBOM 266</t>
  </si>
  <si>
    <t>PASTA AZ OF. 55CM</t>
  </si>
  <si>
    <t>FUNREBOM 258</t>
  </si>
  <si>
    <t>PASTA AZ OF. 80CM</t>
  </si>
  <si>
    <t>FUNREBOM 273</t>
  </si>
  <si>
    <t>PASTA CATÁLOGO (UNIDADE)</t>
  </si>
  <si>
    <t>FUNPDEC 259</t>
  </si>
  <si>
    <t>PÉ DE CABRA</t>
  </si>
  <si>
    <t>FUNREBOM 319</t>
  </si>
  <si>
    <t>Peça / Acessório De Furadeira /
Parafusadeira Material: Aço, Tipo:
Kit De Acessórios Com 100 Peças,
Componentes: 5 Brocas P/Metal; 7
Brocas P/Madeira; 4 Brocas P/C,
Componentes Adicionais: 1 Maleta,
Aplicação: Marcenaria E Alvenaria</t>
  </si>
  <si>
    <t>FUNREBOM 166</t>
  </si>
  <si>
    <t>PEDRA SANITARIA</t>
  </si>
  <si>
    <t>FUNREBOM 267</t>
  </si>
  <si>
    <t>PERFURADOR DE PAPEL</t>
  </si>
  <si>
    <t>FUNPDEC 194</t>
  </si>
  <si>
    <t>PERNEIRA DE SEGURANÇA</t>
  </si>
  <si>
    <t>2025-BKRGJ</t>
  </si>
  <si>
    <t>CBMES 174</t>
  </si>
  <si>
    <t>CBMES 186</t>
  </si>
  <si>
    <t>CBMES 228</t>
  </si>
  <si>
    <t>CBMES 208</t>
  </si>
  <si>
    <t>PERNEIRA DE SEGURÂNÇA</t>
  </si>
  <si>
    <t>CBMES 209</t>
  </si>
  <si>
    <t>FUNREBOM 237</t>
  </si>
  <si>
    <t>PERSIANA TIPO CORTINA</t>
  </si>
  <si>
    <t>FUNPDEC 221</t>
  </si>
  <si>
    <t>PICOTADOR DE ORIENTAÇÃO</t>
  </si>
  <si>
    <t>FUNREBOM 163</t>
  </si>
  <si>
    <t>PILHA AA</t>
  </si>
  <si>
    <t>BLISTER (2UN)</t>
  </si>
  <si>
    <t>FUNREBOM 164</t>
  </si>
  <si>
    <t>PILHA AAA</t>
  </si>
  <si>
    <t>FUNREBOM 125</t>
  </si>
  <si>
    <t>PILHA PARA DEA KIT 10 PILHAS</t>
  </si>
  <si>
    <t>138/2026</t>
  </si>
  <si>
    <t>FUNPDEC 166</t>
  </si>
  <si>
    <t>PINÇÃO CAPTURA DE RÉPTEIS</t>
  </si>
  <si>
    <t>CBMES 164</t>
  </si>
  <si>
    <t>CBMES 165</t>
  </si>
  <si>
    <t>CBMES 221</t>
  </si>
  <si>
    <t>FUNREBOM 211</t>
  </si>
  <si>
    <t>PINCEL ATOMICO</t>
  </si>
  <si>
    <t>FUNPDEC 140</t>
  </si>
  <si>
    <t>FUNPDEC 177</t>
  </si>
  <si>
    <t>FUNPDEC 178</t>
  </si>
  <si>
    <t>FUNPDEC 176</t>
  </si>
  <si>
    <t>FUNREBOM 003</t>
  </si>
  <si>
    <t>Pista de Obediência K9</t>
  </si>
  <si>
    <t>FUNPDEC 098</t>
  </si>
  <si>
    <t>PLACA DE ANCORAGEM</t>
  </si>
  <si>
    <t>FUNPDEC 130</t>
  </si>
  <si>
    <t>FUNPDEC 132</t>
  </si>
  <si>
    <t>PLACAS DE CONCRETO ARMADO</t>
  </si>
  <si>
    <t>143/2026</t>
  </si>
  <si>
    <t>FUNPDEC 074</t>
  </si>
  <si>
    <t>PLACAS DE CONCRETO ARMADO TREINAMENTO</t>
  </si>
  <si>
    <t>FUNREBOM 408</t>
  </si>
  <si>
    <t>Plano Museológico</t>
  </si>
  <si>
    <t>144/2026</t>
  </si>
  <si>
    <t>FUNREBOM 353</t>
  </si>
  <si>
    <t>plastificadora</t>
  </si>
  <si>
    <t>FUNREBOM 390</t>
  </si>
  <si>
    <t>PNEU</t>
  </si>
  <si>
    <t>141/2026</t>
  </si>
  <si>
    <t>Material para manutenção de veículos</t>
  </si>
  <si>
    <t>FUNREBOM 185</t>
  </si>
  <si>
    <t>POCKET MASK</t>
  </si>
  <si>
    <t>FUNPDEC 180</t>
  </si>
  <si>
    <t>FUNPDEC 070</t>
  </si>
  <si>
    <t>POÇO ARTESIANO</t>
  </si>
  <si>
    <t>020/2026</t>
  </si>
  <si>
    <t>FUNPDEC 127</t>
  </si>
  <si>
    <t>POLIA BLOQUEADORA</t>
  </si>
  <si>
    <t>FUNPDEC 103</t>
  </si>
  <si>
    <t>Polia dupla</t>
  </si>
  <si>
    <t>FUNPDEC 131</t>
  </si>
  <si>
    <t>Polia simples</t>
  </si>
  <si>
    <t>FUNPDEC 220</t>
  </si>
  <si>
    <t>PONTALETE PINUS ELIOTE 0,05 X 0,1 X 3,0m</t>
  </si>
  <si>
    <t>FUNPDEC 211</t>
  </si>
  <si>
    <t>PONTALETE PINUS ELIOTE 0,1 X 0,1 X 3,0m</t>
  </si>
  <si>
    <t>FUNPDEC 253</t>
  </si>
  <si>
    <t>PONTEIRA SDS MAX</t>
  </si>
  <si>
    <t>FUNPDEC 238</t>
  </si>
  <si>
    <t>PONTEIRA SDS PLUS</t>
  </si>
  <si>
    <t>FUNREBOM 307</t>
  </si>
  <si>
    <t>Porta de Correr com Trilho de Madeira (2,10m x 0,75m)</t>
  </si>
  <si>
    <t>FUNREBOM 416</t>
  </si>
  <si>
    <t>POWER BI</t>
  </si>
  <si>
    <t>158/2026</t>
  </si>
  <si>
    <t>FUNPDEC 102</t>
  </si>
  <si>
    <t>PRANCHA LONGA COMPLETA COM TIRANTE E APOIO DE CABEÇA</t>
  </si>
  <si>
    <t>FUNREBOM 095</t>
  </si>
  <si>
    <t>PRANCHA LONGA RIGIDA</t>
  </si>
  <si>
    <t>FUNPDEC 120</t>
  </si>
  <si>
    <t>PRANCHA SCOOP</t>
  </si>
  <si>
    <t>FUNREBOM 282</t>
  </si>
  <si>
    <t>PRANCHETA EM MADEIRA</t>
  </si>
  <si>
    <t>CBMES 287</t>
  </si>
  <si>
    <t>Prato de porcelana, raso, cor branca</t>
  </si>
  <si>
    <t>FUNPDEC 227</t>
  </si>
  <si>
    <t>PREGO 17X21</t>
  </si>
  <si>
    <t>QUILOGRAMA</t>
  </si>
  <si>
    <t>FUNPDEC 172</t>
  </si>
  <si>
    <t>PREGO CABEÇA DUPLA 18X27</t>
  </si>
  <si>
    <t>FUNPDEC 270</t>
  </si>
  <si>
    <t>PREGO CABEÇA DUPLA 18X27 - PCT 1KG</t>
  </si>
  <si>
    <t>FUNPDEC 273</t>
  </si>
  <si>
    <t>PREGO CABEÇA SIMPLES 15X15 - PCT 1KG</t>
  </si>
  <si>
    <t>FUNPDEC 276</t>
  </si>
  <si>
    <t>PREGO CABEÇA SIMPLES 17X21 - PCT 1KG</t>
  </si>
  <si>
    <t>FUNREBOM 325</t>
  </si>
  <si>
    <t>PRENDEDOR DE PAPEL 25MM (CAIXA)</t>
  </si>
  <si>
    <t>FUNREBOM 309</t>
  </si>
  <si>
    <t>PRENDEDOR DE PAPEL 51MM (CAIXA)</t>
  </si>
  <si>
    <t>FUNREBOM 425</t>
  </si>
  <si>
    <t>Prendedor de porta (parede)</t>
  </si>
  <si>
    <t>FUNREBOM 087</t>
  </si>
  <si>
    <t>Prestação de Serviço de Limpeza e Conservação - Outras Necessidades</t>
  </si>
  <si>
    <t>37 - LOCAÇÃO DE MÃO-DE-OBRA</t>
  </si>
  <si>
    <t>CBMES 018</t>
  </si>
  <si>
    <t>Prestação de Serviços de Apoio Administrativo - MGS</t>
  </si>
  <si>
    <t>CAP QOABM GIOVANI SOARES BONELA, NF 643066, 2º TEN QOABM VERINO PASCOAL DA CONCEIÇÃO JUNIOR, NF 902540</t>
  </si>
  <si>
    <t>FUNREBOM 310</t>
  </si>
  <si>
    <t>PROTETOR AURICULAR</t>
  </si>
  <si>
    <t>FUNPDEC 188</t>
  </si>
  <si>
    <t>Protetor Auricular Abafador Concha 21 dB</t>
  </si>
  <si>
    <t>FUNREBOM 413</t>
  </si>
  <si>
    <t>Protetor Auricular Abafador Tipo Concha</t>
  </si>
  <si>
    <t>CBMES 285</t>
  </si>
  <si>
    <t>PROTETOR AURICULAR TIPO CONCHA COM HASTE DE CABEÇA ARTICULAVEL</t>
  </si>
  <si>
    <t>CBMES 286</t>
  </si>
  <si>
    <t>FUNPDEC 149</t>
  </si>
  <si>
    <t>Protetor de corda</t>
  </si>
  <si>
    <t>FUNREBOM 122</t>
  </si>
  <si>
    <t>PROTETOR SOLAR 120 ML</t>
  </si>
  <si>
    <t>136/2026</t>
  </si>
  <si>
    <t>FUNREBOM 059</t>
  </si>
  <si>
    <t>Provimento estrutura 28º Ed. Triathlon CBMES</t>
  </si>
  <si>
    <t>004/2026</t>
  </si>
  <si>
    <t>2026-NDWBC</t>
  </si>
  <si>
    <t>SEF</t>
  </si>
  <si>
    <t>FUNREBOM 063</t>
  </si>
  <si>
    <t>Publicação, Impressão de Jornal / Revista / Livro</t>
  </si>
  <si>
    <t>001/2026</t>
  </si>
  <si>
    <t>2025-MTHKZ</t>
  </si>
  <si>
    <t>FUNPDEC 207</t>
  </si>
  <si>
    <t>PUÇÁ PARA CAPTURA DE ANIMAIS SILVESTRE</t>
  </si>
  <si>
    <t>CBMES 197</t>
  </si>
  <si>
    <t>CBMES 198</t>
  </si>
  <si>
    <t>CBMES 199</t>
  </si>
  <si>
    <t>CBMES 200</t>
  </si>
  <si>
    <t>FUNREBOM 301</t>
  </si>
  <si>
    <t>CBMES 222</t>
  </si>
  <si>
    <t>CBMES 257</t>
  </si>
  <si>
    <t>CBMES 303</t>
  </si>
  <si>
    <t>FUNREBOM 176</t>
  </si>
  <si>
    <t>QUADRO BRANCO 1,20m x 0,90m</t>
  </si>
  <si>
    <t>FUNREBOM 385</t>
  </si>
  <si>
    <t>FUNREBOM 188</t>
  </si>
  <si>
    <t>QUADRO BRANCO 90 X 60 CM</t>
  </si>
  <si>
    <t>CBMES 283</t>
  </si>
  <si>
    <t>QUEBRA VIDRO E CORTADOR DE CINTO DE SEGURANÇA</t>
  </si>
  <si>
    <t>CBMES 313</t>
  </si>
  <si>
    <t>FUNREBOM 105</t>
  </si>
  <si>
    <t>RAÇÃO CANINA - CÃO ADULTO</t>
  </si>
  <si>
    <t>076/2026</t>
  </si>
  <si>
    <t>Alimentos para Animais</t>
  </si>
  <si>
    <t>FUNREBOM 104</t>
  </si>
  <si>
    <t>RAÇÃO CANINA - CÃO SÊNIOR</t>
  </si>
  <si>
    <t>FUNPDEC 033</t>
  </si>
  <si>
    <t>RADARES METEOROLÓGICOS</t>
  </si>
  <si>
    <t>Aquisição de radares meteorológicos</t>
  </si>
  <si>
    <t>FUNREBOM 111</t>
  </si>
  <si>
    <t>REABASTECIMENTO/MANUTENÇÃO DE BOTIJA DE GÁS LIQUEFEITO DE PETRÓLEO -GLP, BOTIJA COM 13 KG</t>
  </si>
  <si>
    <t>BOTIJA P13</t>
  </si>
  <si>
    <t>121/2026</t>
  </si>
  <si>
    <t>FUNPDEC 152</t>
  </si>
  <si>
    <t>REANIMADOR MANUAL C/RESERVATÓRIO - ADULTO</t>
  </si>
  <si>
    <t>FUNREBOM 208</t>
  </si>
  <si>
    <t>REANIMADOR MANUAL TAMANHO INFANTIL</t>
  </si>
  <si>
    <t>FUNREBOM 165</t>
  </si>
  <si>
    <t>REANIMADOR MANUAL; TAMANHO: ADULTO</t>
  </si>
  <si>
    <t>FUNREBOM 348</t>
  </si>
  <si>
    <t>RECADO AUTO ADESIVO</t>
  </si>
  <si>
    <t>FUNREBOM 357</t>
  </si>
  <si>
    <t>Recarga de extintor 2A 10L</t>
  </si>
  <si>
    <t>FUNREBOM 387</t>
  </si>
  <si>
    <t>recarga de extintor 4 KG PQS</t>
  </si>
  <si>
    <t>FUNREBOM 397</t>
  </si>
  <si>
    <t>recarga de extintor 6 KG PQS</t>
  </si>
  <si>
    <t>FUNREBOM 324</t>
  </si>
  <si>
    <t>recarga de extintor 8 KG PQS</t>
  </si>
  <si>
    <t>FUNREBOM 210</t>
  </si>
  <si>
    <t>Recarga de extintor CO2 6KG</t>
  </si>
  <si>
    <t>FUNREBOM 101</t>
  </si>
  <si>
    <t>RECARGA DE OXIGENIO MEDICINAL M3</t>
  </si>
  <si>
    <t>METRO CUBICO</t>
  </si>
  <si>
    <t>2º TEN QOABM JACSON SANTOS FERREIRA, NF 903489</t>
  </si>
  <si>
    <t>Gás Engarrafado</t>
  </si>
  <si>
    <t>2024-327TV</t>
  </si>
  <si>
    <t>CBMES 213</t>
  </si>
  <si>
    <t>REDUÇÃO 63/32</t>
  </si>
  <si>
    <t>FUNPDEC 169</t>
  </si>
  <si>
    <t>REDUCAO STORZ</t>
  </si>
  <si>
    <t>FUNREBOM 271</t>
  </si>
  <si>
    <t>REFIL DE MOP</t>
  </si>
  <si>
    <t>FUNREBOM 220</t>
  </si>
  <si>
    <t>REFIL FILTRO DE AGUA AQUAPLUS 200</t>
  </si>
  <si>
    <t>FUNREBOM 255</t>
  </si>
  <si>
    <t>REFIL FR600</t>
  </si>
  <si>
    <t>FUNREBOM 118</t>
  </si>
  <si>
    <t>REFLETOR DE LED</t>
  </si>
  <si>
    <t>FUNREBOM 042</t>
  </si>
  <si>
    <t>Reforma 1ª CIA IND São Mateus</t>
  </si>
  <si>
    <t>2025-46SWQ</t>
  </si>
  <si>
    <t>FUNREBOM 049</t>
  </si>
  <si>
    <t>REFORMA 2° DO 4° BBM</t>
  </si>
  <si>
    <t>147/2026</t>
  </si>
  <si>
    <t>FUNREBOM 040</t>
  </si>
  <si>
    <t>Reforma 4° CIA IND Vila Velha</t>
  </si>
  <si>
    <t>2025-FJP7V</t>
  </si>
  <si>
    <t>FUNREBOM 041</t>
  </si>
  <si>
    <t>Reforma 5ªCIA IND Serra</t>
  </si>
  <si>
    <t>2025-4W47F</t>
  </si>
  <si>
    <t>FUNREBOM 071</t>
  </si>
  <si>
    <t>Reforma do Simulador Combate a Incêndio</t>
  </si>
  <si>
    <t>013/2026</t>
  </si>
  <si>
    <t>FUNREBOM 082</t>
  </si>
  <si>
    <t>REGISTRO NO CARTÓRIO DE NOTAS</t>
  </si>
  <si>
    <t>FUNREBOM 378</t>
  </si>
  <si>
    <t>REGUA</t>
  </si>
  <si>
    <t>CBMES 243</t>
  </si>
  <si>
    <t>REMO</t>
  </si>
  <si>
    <t>FUNPDEC 167</t>
  </si>
  <si>
    <t>REMOS</t>
  </si>
  <si>
    <t>FUNPDEC 168</t>
  </si>
  <si>
    <t>FUNREBOM 142</t>
  </si>
  <si>
    <t>REPARO COMPLETO CX ACOPLADA</t>
  </si>
  <si>
    <t>FUNPDEC 034</t>
  </si>
  <si>
    <t>Repasses aos Municípios Prevenção</t>
  </si>
  <si>
    <t>41 - TRANSFERÊNCIAS A MUNICÍPIOS - FUNDO A FUNDO</t>
  </si>
  <si>
    <t>42 - AUXÍLIOS</t>
  </si>
  <si>
    <t>CEL QOCBM BENICIO FERRARI JUNIOR, NF 903040</t>
  </si>
  <si>
    <t>FUNPDEC 035</t>
  </si>
  <si>
    <t>Repasses aos Municípios Resposta e Restabelecimento</t>
  </si>
  <si>
    <t>FUNREBOM 179</t>
  </si>
  <si>
    <t>RESISTENCIA PARA CHUVEIRO ELÉTRICO</t>
  </si>
  <si>
    <t>FUNREBOM 173</t>
  </si>
  <si>
    <t>RESPIRADOR DESCARTAVEL COD36</t>
  </si>
  <si>
    <t>FUNREBOM 278</t>
  </si>
  <si>
    <t>Roda maluca escamotiável para reboque 350Kg</t>
  </si>
  <si>
    <t>FUNREBOM 265</t>
  </si>
  <si>
    <t>RODO BORRACHA; MODELO REGUA</t>
  </si>
  <si>
    <t>FUNREBOM 270</t>
  </si>
  <si>
    <t>RODO LIMPA VIDRO (UNIDADE)</t>
  </si>
  <si>
    <t>FUNREBOM 247</t>
  </si>
  <si>
    <t>RODO PLÁSTICO 40CM (UNIDADE)</t>
  </si>
  <si>
    <t>FUNREBOM 254</t>
  </si>
  <si>
    <t>RODO PLÁSTICO 60CM (UNIDADE)</t>
  </si>
  <si>
    <t>FUNREBOM 321</t>
  </si>
  <si>
    <t>ROLO DE ESPUMA 15 CM AMARELO</t>
  </si>
  <si>
    <t>FUNREBOM 350</t>
  </si>
  <si>
    <t>ROLO DE ESPUMA 9 CM AMARELO</t>
  </si>
  <si>
    <t>FUNREBOM 349</t>
  </si>
  <si>
    <t>ROLO DE FILME STRETCH</t>
  </si>
  <si>
    <t>FUNREBOM 295</t>
  </si>
  <si>
    <t>ROLO DE LÃ</t>
  </si>
  <si>
    <t>FUNREBOM 431</t>
  </si>
  <si>
    <t>Rolo de lã para pintura 23 cm</t>
  </si>
  <si>
    <t>FUNREBOM 428</t>
  </si>
  <si>
    <t>ROLO DE PINTURA ESPUMA 15 CM</t>
  </si>
  <si>
    <t>FUNREBOM 438</t>
  </si>
  <si>
    <t>Rolo de pintura espuma 9 cm</t>
  </si>
  <si>
    <t>CBMES 126</t>
  </si>
  <si>
    <t>ROMPEDOR</t>
  </si>
  <si>
    <t>FUNPDEC 021</t>
  </si>
  <si>
    <t>ROMPEDOR PARA OCORRENCIA EM ALTURA</t>
  </si>
  <si>
    <t>CBMES 127</t>
  </si>
  <si>
    <t>Roupa de apicultor</t>
  </si>
  <si>
    <t>CBMES 056</t>
  </si>
  <si>
    <t>ROUPA NEOPRENE</t>
  </si>
  <si>
    <t>CBMES 069</t>
  </si>
  <si>
    <t>FUNPDEC 078</t>
  </si>
  <si>
    <t>CBMES 116</t>
  </si>
  <si>
    <t>ROUPA SANITÁRIA</t>
  </si>
  <si>
    <t>FUNREBOM 153</t>
  </si>
  <si>
    <t>SABAO EM BARRA PC 5 UNID</t>
  </si>
  <si>
    <t>PACOTE (5UN)</t>
  </si>
  <si>
    <t>FUNREBOM 205</t>
  </si>
  <si>
    <t>SABAO EM PO 1KG</t>
  </si>
  <si>
    <t>FUNREBOM 151</t>
  </si>
  <si>
    <t>SABONETE LÍQUIDO 1L</t>
  </si>
  <si>
    <t>CBMES 153</t>
  </si>
  <si>
    <t>SACO DE ARREMESSO</t>
  </si>
  <si>
    <t>CBMES 162</t>
  </si>
  <si>
    <t>FUNPDEC 092</t>
  </si>
  <si>
    <t>SACO DE ARREMESSO COM CINTO ABDOMINAL (20m)</t>
  </si>
  <si>
    <t>FUNPDEC 079</t>
  </si>
  <si>
    <t>FUNREBOM 114</t>
  </si>
  <si>
    <t>SACO DE LIXO 100L PRETO</t>
  </si>
  <si>
    <t>FUNREBOM 155</t>
  </si>
  <si>
    <t>SACO DE LIXO 15L INFECTANTE BRANCO</t>
  </si>
  <si>
    <t>FUNREBOM 170</t>
  </si>
  <si>
    <t>SACO DE LIXO 20 L PRETO</t>
  </si>
  <si>
    <t>FUNREBOM 217</t>
  </si>
  <si>
    <t>SACO DE LIXO 40 LITROS</t>
  </si>
  <si>
    <t>FUNREBOM 184</t>
  </si>
  <si>
    <t>SACO DE LIXO 60L (PACOTE 100 UNIDADES)</t>
  </si>
  <si>
    <t>FUNREBOM 190</t>
  </si>
  <si>
    <t>SACO DE LIXO INFECTANTE BRANCO 100L PC COM 100UNID</t>
  </si>
  <si>
    <t>FUNREBOM 317</t>
  </si>
  <si>
    <t>SANDUICHEIRA</t>
  </si>
  <si>
    <t>FUNREBOM 318</t>
  </si>
  <si>
    <t>CBMES 319</t>
  </si>
  <si>
    <t>FUNREBOM 158</t>
  </si>
  <si>
    <t>SAPONACEO</t>
  </si>
  <si>
    <t>CEPDEC 004</t>
  </si>
  <si>
    <t>SCO DIGITAL</t>
  </si>
  <si>
    <t>FUNREBOM 055</t>
  </si>
  <si>
    <t>SCOPI</t>
  </si>
  <si>
    <t>CBMES 060</t>
  </si>
  <si>
    <t>Selo de Toráx Valvulado</t>
  </si>
  <si>
    <t>FUNREBOM 069</t>
  </si>
  <si>
    <t>Seminário de Planejamento Estratégico</t>
  </si>
  <si>
    <t>152/2026</t>
  </si>
  <si>
    <t>FUNPDEC 029</t>
  </si>
  <si>
    <t>SERRA CIRCULAR 7"</t>
  </si>
  <si>
    <t>FUNREBOM 381</t>
  </si>
  <si>
    <t>serra copo</t>
  </si>
  <si>
    <t>FUNPDEC 275</t>
  </si>
  <si>
    <t>SERRA MANUAL (segueta)</t>
  </si>
  <si>
    <t>FUNPDEC 272</t>
  </si>
  <si>
    <t>SERRA PARA SERRA SABRE</t>
  </si>
  <si>
    <t>FUNPDEC 208</t>
  </si>
  <si>
    <t>SERRA PARA SERRA SABRE BI METAL</t>
  </si>
  <si>
    <t>FUNPDEC 017</t>
  </si>
  <si>
    <t>SERRA SABRE</t>
  </si>
  <si>
    <t>FUNPDEC 022</t>
  </si>
  <si>
    <t>SERRA SABRE A BATERIA</t>
  </si>
  <si>
    <t>FUNPDEC 219</t>
  </si>
  <si>
    <t>Serra Tico Tico</t>
  </si>
  <si>
    <t>FUNREBOM 056</t>
  </si>
  <si>
    <t>SERVIÇO DE DIGITALIZAÇÃO DE DOCUMENTOS</t>
  </si>
  <si>
    <t>151/2026</t>
  </si>
  <si>
    <t>Serviços de Copias e Reprodução de Documentos</t>
  </si>
  <si>
    <t>FUNREBOM 343</t>
  </si>
  <si>
    <t>SERVIÇO DE REVISÃO EM SIST. ILUM. DE EMERG.</t>
  </si>
  <si>
    <t>FUNPDEC 072</t>
  </si>
  <si>
    <t>serviço mensal StarLink</t>
  </si>
  <si>
    <t>Serviço mensal StarLink</t>
  </si>
  <si>
    <t>FUNREBOM 058</t>
  </si>
  <si>
    <t>Serviço para digitalizar processos do CAT (continuação)</t>
  </si>
  <si>
    <t>150/2026</t>
  </si>
  <si>
    <t>FUNPDEC 047</t>
  </si>
  <si>
    <t>SERVIÇO VETERINÁRIO - CÃES ACOSTADOS CBMES</t>
  </si>
  <si>
    <t>FUNREBOM 201</t>
  </si>
  <si>
    <t>SHAMPOO AUTOMOTIVO 5L.</t>
  </si>
  <si>
    <t>FUNREBOM 419</t>
  </si>
  <si>
    <t>Sifão para mictorio</t>
  </si>
  <si>
    <t>FUNREBOM 239</t>
  </si>
  <si>
    <t>SIFAO SANFONADO UNIVERSAL</t>
  </si>
  <si>
    <t>FUNREBOM 313</t>
  </si>
  <si>
    <t>SILICONE LIQUIDO</t>
  </si>
  <si>
    <t>UND 5 LITROS</t>
  </si>
  <si>
    <t>FUNREBOM 393</t>
  </si>
  <si>
    <t>CBMES 161</t>
  </si>
  <si>
    <t>Silicone Líquido</t>
  </si>
  <si>
    <t>Unidade 5 L</t>
  </si>
  <si>
    <t>FUNREBOM 371</t>
  </si>
  <si>
    <t>SILICONE SPRAY</t>
  </si>
  <si>
    <t>FUNPDEC 025</t>
  </si>
  <si>
    <t>SIMULADOR DE PARTO</t>
  </si>
  <si>
    <t>FUNPDEC 279</t>
  </si>
  <si>
    <t>SONDA PARA ASPIRAÇÃO</t>
  </si>
  <si>
    <t>FUNREBOM 358</t>
  </si>
  <si>
    <t>SONDA PARA ASPIRAÇÃO TRAQUEAL</t>
  </si>
  <si>
    <t>FUNREBOM 175</t>
  </si>
  <si>
    <t>SORO FISIOLÓGICO 250ML</t>
  </si>
  <si>
    <t>FUNPDEC 019</t>
  </si>
  <si>
    <t>Spill drum 200 litros</t>
  </si>
  <si>
    <t>CBMES 039</t>
  </si>
  <si>
    <t>suco goiaba longa vida</t>
  </si>
  <si>
    <t>CBMES 040</t>
  </si>
  <si>
    <t>suco manga tetrapak</t>
  </si>
  <si>
    <t>CEPDEC 006</t>
  </si>
  <si>
    <t>SUPERVISÃO DO CERD</t>
  </si>
  <si>
    <t>FUNREBOM 339</t>
  </si>
  <si>
    <t>Suporte para caixa de som</t>
  </si>
  <si>
    <t>FUNREBOM 302</t>
  </si>
  <si>
    <t>SUPORTE PARA ROLO 23CM</t>
  </si>
  <si>
    <t>FUNREBOM 432</t>
  </si>
  <si>
    <t>Suporte para rolo de pintura 23 cm</t>
  </si>
  <si>
    <t>FUNREBOM 199</t>
  </si>
  <si>
    <t>TALA MOLDAVEL G</t>
  </si>
  <si>
    <t>FUNREBOM 200</t>
  </si>
  <si>
    <t>TALA MOLDAVEL M</t>
  </si>
  <si>
    <t>FUNREBOM 224</t>
  </si>
  <si>
    <t>TALA MOLDAVEL P</t>
  </si>
  <si>
    <t>FUNREBOM 225</t>
  </si>
  <si>
    <t>TALA MOLDAVEL PP</t>
  </si>
  <si>
    <t>CBMES 058</t>
  </si>
  <si>
    <t>Talabarte em “Y” com conectores de grande abertura</t>
  </si>
  <si>
    <t>CBMES 044</t>
  </si>
  <si>
    <t>Talabarte regulável</t>
  </si>
  <si>
    <t>CBMES 107</t>
  </si>
  <si>
    <t>TALHA DE CORRENTE 2 TON</t>
  </si>
  <si>
    <t>FUNREBOM 277</t>
  </si>
  <si>
    <t>TALHA MANUAL 3T</t>
  </si>
  <si>
    <t>FUNPDEC 254</t>
  </si>
  <si>
    <t>TALHADEIRA SDS MAX</t>
  </si>
  <si>
    <t>FUNPDEC 239</t>
  </si>
  <si>
    <t>TALHADEIRA SDS PLUS</t>
  </si>
  <si>
    <t>FUNREBOM 051</t>
  </si>
  <si>
    <t>Taxa de Renovação de CNH</t>
  </si>
  <si>
    <t>47 - OBRIGAÇÕES TRIBUTÁRIAS E CONTRIBUTIVAS</t>
  </si>
  <si>
    <t>Taxas de renovação de CNH</t>
  </si>
  <si>
    <t>FUNREBOM 050</t>
  </si>
  <si>
    <t>Taxa de Renovação de CNH com Mudança de Categoria</t>
  </si>
  <si>
    <t>CBMES 342</t>
  </si>
  <si>
    <t>Tecido TNT - cor azul clara, Largura: 1,40M</t>
  </si>
  <si>
    <t>rolo 50m</t>
  </si>
  <si>
    <t>FUNPDEC 165</t>
  </si>
  <si>
    <t>Teclado Microcomputador</t>
  </si>
  <si>
    <t>FUNREBOM 157</t>
  </si>
  <si>
    <t>TELEFONE COM FIO COM IDENTIFICADOR DE CHAMADAS</t>
  </si>
  <si>
    <t>CBMES 006</t>
  </si>
  <si>
    <t>Telefonia Fixa Comutada / Convencional</t>
  </si>
  <si>
    <t>CB BM THIAGO MEDEIROS GORZA, NF 3257312 / 2º SGT ALEXSON SCHEPPA PEISINO, NF 3039005</t>
  </si>
  <si>
    <t>Contrato de telefonia</t>
  </si>
  <si>
    <t>CBMES 351</t>
  </si>
  <si>
    <t>Telefonia Móvel - Serviços de gerência de redes móveis e de usuários dessas redes</t>
  </si>
  <si>
    <t>05 - OUTROS BENEFÍCIOS PREVIDENCIÁRIOS DO SERVIDOR OU DO MILITAR</t>
  </si>
  <si>
    <t>CAP QOCBM DIEFFERSON ZANETTI BRAGA, NF 3626083</t>
  </si>
  <si>
    <t>FUNPDEC 062</t>
  </si>
  <si>
    <t>Telha (AJUDA HUMANITÁRIA)</t>
  </si>
  <si>
    <t>FUNREBOM 005</t>
  </si>
  <si>
    <t>tenda para a instalação de uma academia no CEIB</t>
  </si>
  <si>
    <t>Material de Manobra e Patrulhamento</t>
  </si>
  <si>
    <t>FUNREBOM 248</t>
  </si>
  <si>
    <t>TERMOMETRO</t>
  </si>
  <si>
    <t>FUNPDEC 232</t>
  </si>
  <si>
    <t>TERMÔMETRO</t>
  </si>
  <si>
    <t>CBMES 314</t>
  </si>
  <si>
    <t>TERMÔMETRO DIGITAL</t>
  </si>
  <si>
    <t>FUNPDEC 020</t>
  </si>
  <si>
    <t>Termômetro digital portátil com estacas de cobre</t>
  </si>
  <si>
    <t>FUNREBOM 212</t>
  </si>
  <si>
    <t>TESOURA</t>
  </si>
  <si>
    <t>FUNPDEC 260</t>
  </si>
  <si>
    <t>FUNREBOM 234</t>
  </si>
  <si>
    <t>TESOURA PARA RESGATE</t>
  </si>
  <si>
    <t>CBMES 177</t>
  </si>
  <si>
    <t>FUNREBOM 078</t>
  </si>
  <si>
    <t>TESTE HIDROSTÁTICO</t>
  </si>
  <si>
    <t>139/2026</t>
  </si>
  <si>
    <t>FUNREBOM 417</t>
  </si>
  <si>
    <t>TINTA 18L</t>
  </si>
  <si>
    <t>FUNPDEC 196</t>
  </si>
  <si>
    <t>Tinta Demarcação Sinalização</t>
  </si>
  <si>
    <t>Galão</t>
  </si>
  <si>
    <t>FUNPDEC 217</t>
  </si>
  <si>
    <t>TINTA SPRAY LARANJA</t>
  </si>
  <si>
    <t>FUNPDEC 268</t>
  </si>
  <si>
    <t>TINTA SPRAY LARANJA FLUORESCENTE 400ml</t>
  </si>
  <si>
    <t>CBMES 062</t>
  </si>
  <si>
    <t>Tira reagente capilar De Colesterol Total</t>
  </si>
  <si>
    <t>CBMES 151</t>
  </si>
  <si>
    <t>Tira reagente capilar De Glicose</t>
  </si>
  <si>
    <t>CBMES 063</t>
  </si>
  <si>
    <t>Tira reagente capilar De Triglicerideos</t>
  </si>
  <si>
    <t>CBMES 028</t>
  </si>
  <si>
    <t>Toalha de mesa retangular linho vermelha 4,5 X 2,8M</t>
  </si>
  <si>
    <t>CBMES 271</t>
  </si>
  <si>
    <t>Tomada</t>
  </si>
  <si>
    <t>FUNREBOM 186</t>
  </si>
  <si>
    <t>TORNEIRA PARA BANHEIRO</t>
  </si>
  <si>
    <t>CBMES 204</t>
  </si>
  <si>
    <t>Torneira para banheiro - abertura por alavanca</t>
  </si>
  <si>
    <t>CBMES 190</t>
  </si>
  <si>
    <t>CBMES 191</t>
  </si>
  <si>
    <t>CBMES 192</t>
  </si>
  <si>
    <t>CBMES 193</t>
  </si>
  <si>
    <t>CBMES 054</t>
  </si>
  <si>
    <t>TORNIQUETE TÁTICO</t>
  </si>
  <si>
    <t>FUNREBOM 116</t>
  </si>
  <si>
    <t>FUNPDEC 071</t>
  </si>
  <si>
    <t>Travesseiro (AJUDA HUMANITÁRIA)</t>
  </si>
  <si>
    <t>FUNPDEC 222</t>
  </si>
  <si>
    <t>TRENA MECÂNICA 10M</t>
  </si>
  <si>
    <t>FUNPDEC 264</t>
  </si>
  <si>
    <t>FUNREBOM 331</t>
  </si>
  <si>
    <t>TRINCHA SIMPLES 2"</t>
  </si>
  <si>
    <t>FUNREBOM 316</t>
  </si>
  <si>
    <t>TRINCHA SIMPLES 4"</t>
  </si>
  <si>
    <t>CBMES 321</t>
  </si>
  <si>
    <t>Utensílios - colher</t>
  </si>
  <si>
    <t>CBMES 322</t>
  </si>
  <si>
    <t>Utensílios - faça</t>
  </si>
  <si>
    <t>CBMES 323</t>
  </si>
  <si>
    <t>Utensílios - garfo</t>
  </si>
  <si>
    <t>CBMES 149</t>
  </si>
  <si>
    <t>Vara de Manobra</t>
  </si>
  <si>
    <t>CBMES 238</t>
  </si>
  <si>
    <t>Varal recolhivel inox 25m</t>
  </si>
  <si>
    <t>CBMES 254</t>
  </si>
  <si>
    <t>vaso plastico</t>
  </si>
  <si>
    <t>FUNREBOM 412</t>
  </si>
  <si>
    <t>Vaso sanitário</t>
  </si>
  <si>
    <t>165/2026</t>
  </si>
  <si>
    <t>2026-JLDKK</t>
  </si>
  <si>
    <t>FUNREBOM 214</t>
  </si>
  <si>
    <t>VASSOURA PIACAVA; MODELO: TRADICIONAL</t>
  </si>
  <si>
    <t>FUNREBOM 233</t>
  </si>
  <si>
    <t>VASSOURÃO TIPO GARI</t>
  </si>
  <si>
    <t>FUNREBOM 263</t>
  </si>
  <si>
    <t>VEDA ROSCA</t>
  </si>
  <si>
    <t>CEPDEC 001</t>
  </si>
  <si>
    <t>VEÍCULO AUTO ESCADA</t>
  </si>
  <si>
    <t>1º TEN QOABM ROGERIO NUNES DA CONCEIÇÃO, NF 633565</t>
  </si>
  <si>
    <t>FUNREBOM 242</t>
  </si>
  <si>
    <t>VENTILADOR DE TETO 127V</t>
  </si>
  <si>
    <t>025/2026</t>
  </si>
  <si>
    <t>FUNREBOM 243</t>
  </si>
  <si>
    <t>FUNREBOM 276</t>
  </si>
  <si>
    <t>CBMES 195</t>
  </si>
  <si>
    <t>CBMES 004</t>
  </si>
  <si>
    <t>Windows Server + Call</t>
  </si>
  <si>
    <t>FUNPDEC 037</t>
  </si>
  <si>
    <t>WORKSTATION</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</si>
</sst>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R$ -416]#,##0.00"/>
    <numFmt numFmtId="166" formatCode="&quot;R$&quot;\ #,##0.00;[Red]\-&quot;R$&quot;\ #,##0.00"/>
    <numFmt numFmtId="167" formatCode="dd/mm/yyyy"/>
  </numFmts>
  <fonts count="25">
    <font>
      <sz val="10.0"/>
      <color rgb="FF000000"/>
      <name val="Arial"/>
      <scheme val="minor"/>
    </font>
    <font>
      <b/>
      <sz val="14.0"/>
      <color theme="0"/>
      <name val="Arial"/>
    </font>
    <font>
      <sz val="11.0"/>
      <color theme="0"/>
      <name val="Arial"/>
    </font>
    <font>
      <sz val="11.0"/>
      <color theme="1"/>
      <name val="Arial"/>
    </font>
    <font>
      <sz val="10.0"/>
      <color rgb="FF000000"/>
      <name val="Times New Roman"/>
    </font>
    <font>
      <b/>
      <sz val="11.0"/>
      <color theme="1"/>
      <name val="Arial"/>
    </font>
    <font>
      <color theme="1"/>
      <name val="Arial"/>
    </font>
    <font>
      <b/>
      <sz val="10.0"/>
      <color theme="1"/>
      <name val="Times New Roman"/>
    </font>
    <font>
      <sz val="10.0"/>
      <color theme="1"/>
      <name val="Times New Roman"/>
    </font>
    <font/>
    <font>
      <b/>
      <sz val="16.0"/>
      <color theme="0"/>
      <name val="Times New Roman"/>
    </font>
    <font>
      <b/>
      <sz val="16.0"/>
      <color theme="1"/>
      <name val="Times New Roman"/>
    </font>
    <font>
      <b/>
      <sz val="9.0"/>
      <color rgb="FFFFFFFF"/>
      <name val="Times New Roman"/>
    </font>
    <font>
      <sz val="10.0"/>
      <color rgb="FF000000"/>
      <name val="Arial"/>
    </font>
    <font>
      <b/>
      <color theme="1"/>
      <name val="Arial"/>
    </font>
    <font>
      <b/>
      <sz val="9.0"/>
      <color theme="0"/>
      <name val="Times New Roman"/>
    </font>
    <font>
      <sz val="11.0"/>
      <color rgb="FF000000"/>
      <name val="Arial"/>
    </font>
    <font>
      <b/>
      <sz val="11.0"/>
      <color rgb="FF000000"/>
      <name val="Arial"/>
    </font>
    <font>
      <sz val="11.0"/>
      <color rgb="FF3B3C3D"/>
      <name val="Arial"/>
    </font>
    <font>
      <color theme="1"/>
      <name val="Arial"/>
      <scheme val="minor"/>
    </font>
    <font>
      <b/>
      <sz val="13.0"/>
      <color rgb="FF212529"/>
      <name val="Roboto"/>
    </font>
    <font>
      <b/>
      <sz val="11.0"/>
      <color rgb="FF212529"/>
      <name val="Roboto"/>
    </font>
    <font>
      <color rgb="FF000000"/>
      <name val="Arial"/>
    </font>
    <font>
      <sz val="10.0"/>
      <color rgb="FF212529"/>
      <name val="Roboto"/>
    </font>
    <font>
      <sz val="13.0"/>
      <color rgb="FF212529"/>
      <name val="Roboto"/>
    </font>
  </fonts>
  <fills count="16">
    <fill>
      <patternFill patternType="none"/>
    </fill>
    <fill>
      <patternFill patternType="lightGray"/>
    </fill>
    <fill>
      <patternFill patternType="solid">
        <fgColor theme="1"/>
        <bgColor theme="1"/>
      </patternFill>
    </fill>
    <fill>
      <patternFill patternType="solid">
        <fgColor rgb="FFD8D8D8"/>
        <bgColor rgb="FFD8D8D8"/>
      </patternFill>
    </fill>
    <fill>
      <patternFill patternType="solid">
        <fgColor theme="0"/>
        <bgColor theme="0"/>
      </patternFill>
    </fill>
    <fill>
      <patternFill patternType="solid">
        <fgColor rgb="FF2A4857"/>
        <bgColor rgb="FF2A4857"/>
      </patternFill>
    </fill>
    <fill>
      <patternFill patternType="solid">
        <fgColor rgb="FF406D83"/>
        <bgColor rgb="FF406D83"/>
      </patternFill>
    </fill>
    <fill>
      <patternFill patternType="solid">
        <fgColor rgb="FFFFFFFF"/>
        <bgColor rgb="FFFFFFFF"/>
      </patternFill>
    </fill>
    <fill>
      <patternFill patternType="solid">
        <fgColor rgb="FFCCCCCC"/>
        <bgColor rgb="FFCCCCCC"/>
      </patternFill>
    </fill>
    <fill>
      <patternFill patternType="solid">
        <fgColor rgb="FFFFFF00"/>
        <bgColor rgb="FFFFFF00"/>
      </patternFill>
    </fill>
    <fill>
      <patternFill patternType="solid">
        <fgColor rgb="FFFF0000"/>
        <bgColor rgb="FFFF0000"/>
      </patternFill>
    </fill>
    <fill>
      <patternFill patternType="solid">
        <fgColor rgb="FFFF00FF"/>
        <bgColor rgb="FFFF00FF"/>
      </patternFill>
    </fill>
    <fill>
      <patternFill patternType="solid">
        <fgColor rgb="FFD9D9D9"/>
        <bgColor rgb="FFD9D9D9"/>
      </patternFill>
    </fill>
    <fill>
      <patternFill patternType="solid">
        <fgColor rgb="FFFF9900"/>
        <bgColor rgb="FFFF9900"/>
      </patternFill>
    </fill>
    <fill>
      <patternFill patternType="solid">
        <fgColor rgb="FF00FFFF"/>
        <bgColor rgb="FF00FFFF"/>
      </patternFill>
    </fill>
    <fill>
      <patternFill patternType="solid">
        <fgColor rgb="FFFFF2CC"/>
        <bgColor rgb="FFFFF2CC"/>
      </patternFill>
    </fill>
  </fills>
  <borders count="12">
    <border/>
    <border>
      <left/>
      <right/>
      <top/>
      <bottom/>
    </border>
    <border>
      <left style="thin">
        <color rgb="FF000000"/>
      </left>
      <right style="thin">
        <color rgb="FF000000"/>
      </right>
      <top style="thin">
        <color rgb="FF000000"/>
      </top>
      <bottom style="thin">
        <color rgb="FF000000"/>
      </bottom>
    </border>
    <border>
      <left/>
      <top/>
      <bottom/>
    </border>
    <border>
      <left/>
      <right/>
      <top style="thin">
        <color rgb="FF000000"/>
      </top>
      <bottom style="thin">
        <color rgb="FF000000"/>
      </bottom>
    </border>
    <border>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top/>
      <bottom/>
    </border>
    <border>
      <left style="thin">
        <color rgb="FF000000"/>
      </left>
      <right style="thin">
        <color rgb="FF000000"/>
      </right>
      <top style="thin">
        <color rgb="FF000000"/>
      </top>
    </border>
    <border>
      <left/>
      <right/>
      <top/>
    </border>
  </borders>
  <cellStyleXfs count="1">
    <xf borderId="0" fillId="0" fontId="0" numFmtId="0" applyAlignment="1" applyFont="1"/>
  </cellStyleXfs>
  <cellXfs count="189">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0" fillId="0" fontId="3" numFmtId="0" xfId="0" applyFont="1"/>
    <xf borderId="0" fillId="0" fontId="4" numFmtId="0" xfId="0" applyAlignment="1" applyFont="1">
      <alignment horizontal="center" shrinkToFit="0" vertical="center" wrapText="1"/>
    </xf>
    <xf borderId="1" fillId="3" fontId="5" numFmtId="0" xfId="0" applyAlignment="1" applyBorder="1" applyFill="1" applyFont="1">
      <alignment horizontal="left" vertical="center"/>
    </xf>
    <xf borderId="1" fillId="3" fontId="3" numFmtId="0" xfId="0" applyBorder="1" applyFont="1"/>
    <xf borderId="0" fillId="0" fontId="6" numFmtId="0" xfId="0" applyAlignment="1" applyFont="1">
      <alignment horizontal="center"/>
    </xf>
    <xf borderId="0" fillId="0" fontId="6" numFmtId="0" xfId="0" applyAlignment="1" applyFont="1">
      <alignment horizontal="center" vertical="center"/>
    </xf>
    <xf borderId="0" fillId="0" fontId="4" numFmtId="4" xfId="0" applyAlignment="1" applyFont="1" applyNumberFormat="1">
      <alignment horizontal="center" shrinkToFit="0" vertical="center" wrapText="1"/>
    </xf>
    <xf borderId="0" fillId="4" fontId="7" numFmtId="0" xfId="0" applyAlignment="1" applyFill="1" applyFont="1">
      <alignment horizontal="center" shrinkToFit="0" vertical="center" wrapText="1"/>
    </xf>
    <xf borderId="0" fillId="0" fontId="8" numFmtId="0" xfId="0" applyAlignment="1" applyFont="1">
      <alignment horizontal="center" shrinkToFit="0" vertical="center" wrapText="1"/>
    </xf>
    <xf borderId="2" fillId="0" fontId="4" numFmtId="0" xfId="0" applyAlignment="1" applyBorder="1" applyFont="1">
      <alignment horizontal="center" shrinkToFit="0" vertical="center" wrapText="1"/>
    </xf>
    <xf borderId="3" fillId="4" fontId="7" numFmtId="0" xfId="0" applyAlignment="1" applyBorder="1" applyFont="1">
      <alignment horizontal="center" shrinkToFit="0" vertical="center" wrapText="1"/>
    </xf>
    <xf borderId="4" fillId="4" fontId="3" numFmtId="0" xfId="0" applyAlignment="1" applyBorder="1" applyFont="1">
      <alignment horizontal="left" vertical="center"/>
    </xf>
    <xf borderId="0" fillId="0" fontId="4" numFmtId="164" xfId="0" applyAlignment="1" applyFont="1" applyNumberFormat="1">
      <alignment horizontal="center" shrinkToFit="0" vertical="center" wrapText="1"/>
    </xf>
    <xf borderId="5" fillId="0" fontId="9" numFmtId="0" xfId="0" applyBorder="1" applyFont="1"/>
    <xf borderId="4" fillId="4" fontId="3" numFmtId="0" xfId="0" applyAlignment="1" applyBorder="1" applyFont="1">
      <alignment shrinkToFit="0" wrapText="1"/>
    </xf>
    <xf borderId="6" fillId="4" fontId="7" numFmtId="0" xfId="0" applyAlignment="1" applyBorder="1" applyFont="1">
      <alignment horizontal="center" shrinkToFit="0" vertical="center" wrapText="1"/>
    </xf>
    <xf borderId="7" fillId="0" fontId="9" numFmtId="0" xfId="0" applyBorder="1" applyFont="1"/>
    <xf borderId="8" fillId="0" fontId="9" numFmtId="0" xfId="0" applyBorder="1" applyFont="1"/>
    <xf borderId="0" fillId="5" fontId="10" numFmtId="0" xfId="0" applyAlignment="1" applyFill="1" applyFont="1">
      <alignment horizontal="center" shrinkToFit="0" vertical="center" wrapText="1"/>
    </xf>
    <xf borderId="5" fillId="5" fontId="10" numFmtId="0" xfId="0" applyAlignment="1" applyBorder="1" applyFont="1">
      <alignment horizontal="center" shrinkToFit="0" vertical="center" wrapText="1"/>
    </xf>
    <xf borderId="1" fillId="4" fontId="3" numFmtId="0" xfId="0" applyAlignment="1" applyBorder="1" applyFont="1">
      <alignment horizontal="left" shrinkToFit="0" vertical="center" wrapText="1"/>
    </xf>
    <xf borderId="0" fillId="0" fontId="6" numFmtId="165" xfId="0" applyAlignment="1" applyFont="1" applyNumberFormat="1">
      <alignment horizontal="center" shrinkToFit="0" vertical="center" wrapText="1"/>
    </xf>
    <xf borderId="3" fillId="5" fontId="10" numFmtId="0" xfId="0" applyAlignment="1" applyBorder="1" applyFont="1">
      <alignment horizontal="center" shrinkToFit="0" vertical="center" wrapText="1"/>
    </xf>
    <xf borderId="1" fillId="4" fontId="3" numFmtId="0" xfId="0" applyAlignment="1" applyBorder="1" applyFont="1">
      <alignment shrinkToFit="0" vertical="top" wrapText="1"/>
    </xf>
    <xf borderId="9" fillId="5" fontId="10" numFmtId="0" xfId="0" applyAlignment="1" applyBorder="1" applyFont="1">
      <alignment horizontal="center" shrinkToFit="0" vertical="center" wrapText="1"/>
    </xf>
    <xf borderId="5" fillId="5" fontId="10" numFmtId="4" xfId="0" applyAlignment="1" applyBorder="1" applyFont="1" applyNumberFormat="1">
      <alignment horizontal="center" shrinkToFit="0" vertical="center" wrapText="1"/>
    </xf>
    <xf borderId="10" fillId="5" fontId="10" numFmtId="0" xfId="0" applyAlignment="1" applyBorder="1" applyFont="1">
      <alignment horizontal="center" shrinkToFit="0" vertical="center" wrapText="1"/>
    </xf>
    <xf borderId="9" fillId="5" fontId="11" numFmtId="0" xfId="0" applyAlignment="1" applyBorder="1" applyFont="1">
      <alignment horizontal="center" shrinkToFit="0" vertical="center" wrapText="1"/>
    </xf>
    <xf borderId="0" fillId="5" fontId="10" numFmtId="164" xfId="0" applyAlignment="1" applyFont="1" applyNumberFormat="1">
      <alignment horizontal="center" shrinkToFit="0" vertical="center" wrapText="1"/>
    </xf>
    <xf borderId="4" fillId="4" fontId="3" numFmtId="0" xfId="0" applyAlignment="1" applyBorder="1" applyFont="1">
      <alignment horizontal="left" shrinkToFit="0" vertical="center" wrapText="1"/>
    </xf>
    <xf borderId="0" fillId="0" fontId="6" numFmtId="165" xfId="0" applyAlignment="1" applyFont="1" applyNumberFormat="1">
      <alignment horizontal="center"/>
    </xf>
    <xf borderId="6" fillId="6" fontId="12" numFmtId="0" xfId="0" applyAlignment="1" applyBorder="1" applyFill="1" applyFont="1">
      <alignment horizontal="center" shrinkToFit="0" vertical="center" wrapText="1"/>
    </xf>
    <xf borderId="0" fillId="7" fontId="13" numFmtId="0" xfId="0" applyAlignment="1" applyFill="1" applyFont="1">
      <alignment horizontal="center" shrinkToFit="0" vertical="center" wrapText="1"/>
    </xf>
    <xf borderId="0" fillId="7" fontId="13" numFmtId="164" xfId="0" applyAlignment="1" applyFont="1" applyNumberFormat="1">
      <alignment horizontal="center" shrinkToFit="0" vertical="center" wrapText="1"/>
    </xf>
    <xf borderId="0" fillId="0" fontId="6" numFmtId="0" xfId="0" applyAlignment="1" applyFont="1">
      <alignment vertical="center"/>
    </xf>
    <xf borderId="1" fillId="4" fontId="7" numFmtId="0" xfId="0" applyAlignment="1" applyBorder="1" applyFont="1">
      <alignment horizontal="center" shrinkToFit="0" vertical="center" wrapText="1"/>
    </xf>
    <xf borderId="2" fillId="6" fontId="12" numFmtId="0" xfId="0" applyAlignment="1" applyBorder="1" applyFont="1">
      <alignment horizontal="center" shrinkToFit="0" vertical="center" wrapText="1"/>
    </xf>
    <xf borderId="2" fillId="7" fontId="6" numFmtId="0" xfId="0" applyAlignment="1" applyBorder="1" applyFont="1">
      <alignment horizontal="center" shrinkToFit="0" vertical="center" wrapText="1"/>
    </xf>
    <xf borderId="2" fillId="7" fontId="6" numFmtId="165" xfId="0" applyAlignment="1" applyBorder="1" applyFont="1" applyNumberFormat="1">
      <alignment horizontal="center" shrinkToFit="0" vertical="center" wrapText="1"/>
    </xf>
    <xf borderId="11" fillId="4" fontId="7" numFmtId="0" xfId="0" applyAlignment="1" applyBorder="1" applyFont="1">
      <alignment horizontal="center" shrinkToFit="0" vertical="center" wrapText="1"/>
    </xf>
    <xf borderId="2" fillId="7" fontId="6" numFmtId="14" xfId="0" applyAlignment="1" applyBorder="1" applyFont="1" applyNumberFormat="1">
      <alignment horizontal="center" shrinkToFit="0" vertical="center" wrapText="1"/>
    </xf>
    <xf borderId="2" fillId="4" fontId="7" numFmtId="0" xfId="0" applyAlignment="1" applyBorder="1" applyFont="1">
      <alignment horizontal="center" shrinkToFit="0" vertical="center" wrapText="1"/>
    </xf>
    <xf borderId="2" fillId="7" fontId="6" numFmtId="4" xfId="0" applyAlignment="1" applyBorder="1" applyFont="1" applyNumberFormat="1">
      <alignment horizontal="center" shrinkToFit="0" vertical="center" wrapText="1"/>
    </xf>
    <xf borderId="2" fillId="0" fontId="14" numFmtId="0" xfId="0" applyAlignment="1" applyBorder="1" applyFont="1">
      <alignment horizontal="center" shrinkToFit="0" vertical="center" wrapText="1"/>
    </xf>
    <xf borderId="2" fillId="8" fontId="6" numFmtId="0" xfId="0" applyAlignment="1" applyBorder="1" applyFill="1" applyFont="1">
      <alignment horizontal="center" shrinkToFit="0" vertical="center" wrapText="1"/>
    </xf>
    <xf borderId="2" fillId="8" fontId="6" numFmtId="165" xfId="0" applyAlignment="1" applyBorder="1" applyFont="1" applyNumberFormat="1">
      <alignment horizontal="center" shrinkToFit="0" vertical="center" wrapText="1"/>
    </xf>
    <xf borderId="0" fillId="0" fontId="4" numFmtId="165" xfId="0" applyAlignment="1" applyFont="1" applyNumberFormat="1">
      <alignment horizontal="center" shrinkToFit="0" vertical="center" wrapText="1"/>
    </xf>
    <xf borderId="2" fillId="8" fontId="6" numFmtId="14" xfId="0" applyAlignment="1" applyBorder="1" applyFont="1" applyNumberFormat="1">
      <alignment horizontal="center" shrinkToFit="0" vertical="center" wrapText="1"/>
    </xf>
    <xf borderId="2" fillId="0" fontId="6" numFmtId="165" xfId="0" applyAlignment="1" applyBorder="1" applyFont="1" applyNumberFormat="1">
      <alignment horizontal="right" shrinkToFit="0" vertical="center" wrapText="1"/>
    </xf>
    <xf borderId="2" fillId="8" fontId="6" numFmtId="4" xfId="0" applyAlignment="1" applyBorder="1" applyFont="1" applyNumberFormat="1">
      <alignment horizontal="center" shrinkToFit="0" vertical="center" wrapText="1"/>
    </xf>
    <xf borderId="0" fillId="0" fontId="6" numFmtId="164" xfId="0" applyFont="1" applyNumberFormat="1"/>
    <xf borderId="0" fillId="0" fontId="13" numFmtId="165" xfId="0" applyAlignment="1" applyFont="1" applyNumberFormat="1">
      <alignment horizontal="center" shrinkToFit="0" vertical="center" wrapText="1"/>
    </xf>
    <xf borderId="2" fillId="6" fontId="15" numFmtId="0" xfId="0" applyAlignment="1" applyBorder="1" applyFont="1">
      <alignment horizontal="center" shrinkToFit="0" vertical="center" wrapText="1"/>
    </xf>
    <xf borderId="6" fillId="6" fontId="15" numFmtId="0" xfId="0" applyAlignment="1" applyBorder="1" applyFont="1">
      <alignment horizontal="center" shrinkToFit="0" vertical="center" wrapText="1"/>
    </xf>
    <xf borderId="2" fillId="6" fontId="15" numFmtId="4" xfId="0" applyAlignment="1" applyBorder="1" applyFont="1" applyNumberFormat="1">
      <alignment horizontal="center" shrinkToFit="0" vertical="center" wrapText="1"/>
    </xf>
    <xf borderId="2" fillId="6" fontId="12" numFmtId="164" xfId="0" applyAlignment="1" applyBorder="1" applyFont="1" applyNumberFormat="1">
      <alignment horizontal="center" shrinkToFit="0" vertical="center" wrapText="1"/>
    </xf>
    <xf borderId="2" fillId="7" fontId="16" numFmtId="0" xfId="0" applyAlignment="1" applyBorder="1" applyFont="1">
      <alignment horizontal="center" shrinkToFit="0" vertical="center" wrapText="1"/>
    </xf>
    <xf borderId="2" fillId="7" fontId="17" numFmtId="0" xfId="0" applyAlignment="1" applyBorder="1" applyFont="1">
      <alignment horizontal="center" shrinkToFit="0" vertical="center" wrapText="1"/>
    </xf>
    <xf borderId="2" fillId="0" fontId="17" numFmtId="0" xfId="0" applyAlignment="1" applyBorder="1" applyFont="1">
      <alignment horizontal="center" shrinkToFit="0" vertical="center" wrapText="1"/>
    </xf>
    <xf borderId="2" fillId="9" fontId="17" numFmtId="166" xfId="0" applyAlignment="1" applyBorder="1" applyFill="1" applyFont="1" applyNumberFormat="1">
      <alignment horizontal="center" shrinkToFit="0" vertical="center" wrapText="1"/>
    </xf>
    <xf borderId="0" fillId="0" fontId="6" numFmtId="49" xfId="0" applyFont="1" applyNumberFormat="1"/>
    <xf borderId="2" fillId="0" fontId="3" numFmtId="4" xfId="0" applyAlignment="1" applyBorder="1" applyFont="1" applyNumberFormat="1">
      <alignment horizontal="center" shrinkToFit="0" vertical="center" wrapText="1"/>
    </xf>
    <xf borderId="2" fillId="0" fontId="16" numFmtId="14" xfId="0" applyAlignment="1" applyBorder="1" applyFont="1" applyNumberFormat="1">
      <alignment horizontal="center" shrinkToFit="0" vertical="center" wrapText="1"/>
    </xf>
    <xf borderId="2" fillId="0" fontId="3" numFmtId="0" xfId="0" applyAlignment="1" applyBorder="1" applyFont="1">
      <alignment horizontal="center" shrinkToFit="0" vertical="center" wrapText="1"/>
    </xf>
    <xf borderId="2" fillId="7" fontId="3" numFmtId="0" xfId="0" applyAlignment="1" applyBorder="1" applyFont="1">
      <alignment horizontal="center" shrinkToFit="0" vertical="center" wrapText="1"/>
    </xf>
    <xf borderId="2" fillId="0" fontId="16" numFmtId="0" xfId="0" applyAlignment="1" applyBorder="1" applyFont="1">
      <alignment horizontal="center" shrinkToFit="0" vertical="center" wrapText="1"/>
    </xf>
    <xf borderId="0" fillId="0" fontId="8" numFmtId="10" xfId="0" applyAlignment="1" applyFont="1" applyNumberFormat="1">
      <alignment horizontal="center" shrinkToFit="0" vertical="center" wrapText="1"/>
    </xf>
    <xf borderId="2" fillId="0" fontId="18" numFmtId="0" xfId="0" applyAlignment="1" applyBorder="1" applyFont="1">
      <alignment horizontal="center" shrinkToFit="0" vertical="center" wrapText="1"/>
    </xf>
    <xf borderId="2" fillId="10" fontId="16" numFmtId="0" xfId="0" applyAlignment="1" applyBorder="1" applyFill="1" applyFont="1">
      <alignment horizontal="center" shrinkToFit="0" vertical="center" wrapText="1"/>
    </xf>
    <xf borderId="2" fillId="7" fontId="17" numFmtId="165" xfId="0" applyAlignment="1" applyBorder="1" applyFont="1" applyNumberFormat="1">
      <alignment horizontal="center" shrinkToFit="0" vertical="center" wrapText="1"/>
    </xf>
    <xf borderId="2" fillId="7" fontId="3" numFmtId="4" xfId="0" applyAlignment="1" applyBorder="1" applyFont="1" applyNumberFormat="1">
      <alignment horizontal="center" shrinkToFit="0" vertical="center" wrapText="1"/>
    </xf>
    <xf borderId="2" fillId="7" fontId="16" numFmtId="14" xfId="0" applyAlignment="1" applyBorder="1" applyFont="1" applyNumberFormat="1">
      <alignment horizontal="center" shrinkToFit="0" vertical="center" wrapText="1"/>
    </xf>
    <xf borderId="2" fillId="0" fontId="18" numFmtId="164" xfId="0" applyAlignment="1" applyBorder="1" applyFont="1" applyNumberFormat="1">
      <alignment horizontal="center" shrinkToFit="0" vertical="center" wrapText="1"/>
    </xf>
    <xf borderId="2" fillId="7" fontId="18" numFmtId="49" xfId="0" applyAlignment="1" applyBorder="1" applyFont="1" applyNumberFormat="1">
      <alignment horizontal="center" shrinkToFit="0" vertical="center" wrapText="1"/>
    </xf>
    <xf borderId="2" fillId="7" fontId="18" numFmtId="0" xfId="0" applyAlignment="1" applyBorder="1" applyFont="1">
      <alignment horizontal="center" shrinkToFit="0" vertical="center" wrapText="1"/>
    </xf>
    <xf borderId="2" fillId="0" fontId="16" numFmtId="167" xfId="0" applyAlignment="1" applyBorder="1" applyFont="1" applyNumberFormat="1">
      <alignment horizontal="center" shrinkToFit="0" vertical="center" wrapText="1"/>
    </xf>
    <xf borderId="2" fillId="0" fontId="3" numFmtId="0" xfId="0" applyBorder="1" applyFont="1"/>
    <xf borderId="2" fillId="11" fontId="5" numFmtId="0" xfId="0" applyAlignment="1" applyBorder="1" applyFill="1" applyFont="1">
      <alignment horizontal="center" shrinkToFit="0" vertical="center" wrapText="1"/>
    </xf>
    <xf borderId="2" fillId="7" fontId="5" numFmtId="0" xfId="0" applyAlignment="1" applyBorder="1" applyFont="1">
      <alignment horizontal="center" shrinkToFit="0" vertical="center" wrapText="1"/>
    </xf>
    <xf borderId="2" fillId="9" fontId="5" numFmtId="166" xfId="0" applyAlignment="1" applyBorder="1" applyFont="1" applyNumberFormat="1">
      <alignment horizontal="center" shrinkToFit="0" vertical="center" wrapText="1"/>
    </xf>
    <xf borderId="2" fillId="7" fontId="3" numFmtId="14" xfId="0" applyAlignment="1" applyBorder="1" applyFont="1" applyNumberFormat="1">
      <alignment horizontal="center" shrinkToFit="0" vertical="center" wrapText="1"/>
    </xf>
    <xf borderId="2" fillId="7" fontId="18" numFmtId="164" xfId="0" applyAlignment="1" applyBorder="1" applyFont="1" applyNumberFormat="1">
      <alignment horizontal="center" shrinkToFit="0" vertical="center" wrapText="1"/>
    </xf>
    <xf borderId="2" fillId="7" fontId="16" numFmtId="167" xfId="0" applyAlignment="1" applyBorder="1" applyFont="1" applyNumberFormat="1">
      <alignment horizontal="center" shrinkToFit="0" vertical="center" wrapText="1"/>
    </xf>
    <xf borderId="0" fillId="7" fontId="3" numFmtId="0" xfId="0" applyFont="1"/>
    <xf borderId="2" fillId="12" fontId="16" numFmtId="0" xfId="0" applyAlignment="1" applyBorder="1" applyFill="1" applyFont="1">
      <alignment horizontal="center" shrinkToFit="0" vertical="center" wrapText="1"/>
    </xf>
    <xf borderId="2" fillId="12" fontId="17" numFmtId="0" xfId="0" applyAlignment="1" applyBorder="1" applyFont="1">
      <alignment horizontal="center" shrinkToFit="0" vertical="center" wrapText="1"/>
    </xf>
    <xf borderId="2" fillId="12" fontId="17" numFmtId="165" xfId="0" applyAlignment="1" applyBorder="1" applyFont="1" applyNumberFormat="1">
      <alignment horizontal="center" shrinkToFit="0" vertical="center" wrapText="1"/>
    </xf>
    <xf borderId="2" fillId="12" fontId="3" numFmtId="4" xfId="0" applyAlignment="1" applyBorder="1" applyFont="1" applyNumberFormat="1">
      <alignment horizontal="center" shrinkToFit="0" vertical="center" wrapText="1"/>
    </xf>
    <xf borderId="2" fillId="12" fontId="16" numFmtId="14" xfId="0" applyAlignment="1" applyBorder="1" applyFont="1" applyNumberFormat="1">
      <alignment horizontal="center" shrinkToFit="0" vertical="center" wrapText="1"/>
    </xf>
    <xf borderId="2" fillId="12" fontId="3" numFmtId="0" xfId="0" applyAlignment="1" applyBorder="1" applyFont="1">
      <alignment horizontal="center" shrinkToFit="0" vertical="center" wrapText="1"/>
    </xf>
    <xf borderId="2" fillId="12" fontId="18" numFmtId="49" xfId="0" applyAlignment="1" applyBorder="1" applyFont="1" applyNumberFormat="1">
      <alignment horizontal="center" shrinkToFit="0" vertical="center" wrapText="1"/>
    </xf>
    <xf borderId="2" fillId="12" fontId="18" numFmtId="0" xfId="0" applyAlignment="1" applyBorder="1" applyFont="1">
      <alignment horizontal="center" shrinkToFit="0" vertical="center" wrapText="1"/>
    </xf>
    <xf borderId="2" fillId="0" fontId="5" numFmtId="0" xfId="0" applyAlignment="1" applyBorder="1" applyFont="1">
      <alignment horizontal="center" shrinkToFit="0" vertical="center" wrapText="1"/>
    </xf>
    <xf borderId="2" fillId="0" fontId="5" numFmtId="166" xfId="0" applyAlignment="1" applyBorder="1" applyFont="1" applyNumberFormat="1">
      <alignment horizontal="center" shrinkToFit="0" vertical="center" wrapText="1"/>
    </xf>
    <xf borderId="2" fillId="12" fontId="18" numFmtId="164" xfId="0" applyAlignment="1" applyBorder="1" applyFont="1" applyNumberFormat="1">
      <alignment horizontal="center" shrinkToFit="0" vertical="center" wrapText="1"/>
    </xf>
    <xf borderId="2" fillId="0" fontId="3" numFmtId="14" xfId="0" applyAlignment="1" applyBorder="1" applyFont="1" applyNumberFormat="1">
      <alignment horizontal="center" shrinkToFit="0" vertical="center" wrapText="1"/>
    </xf>
    <xf borderId="2" fillId="12" fontId="16" numFmtId="167" xfId="0" applyAlignment="1" applyBorder="1" applyFont="1" applyNumberFormat="1">
      <alignment horizontal="center" shrinkToFit="0" vertical="center" wrapText="1"/>
    </xf>
    <xf borderId="0" fillId="12" fontId="3" numFmtId="0" xfId="0" applyFont="1"/>
    <xf borderId="2" fillId="7" fontId="5" numFmtId="165" xfId="0" applyAlignment="1" applyBorder="1" applyFont="1" applyNumberFormat="1">
      <alignment horizontal="center" shrinkToFit="0" vertical="center" wrapText="1"/>
    </xf>
    <xf borderId="0" fillId="7" fontId="5" numFmtId="0" xfId="0" applyAlignment="1" applyFont="1">
      <alignment horizontal="center" shrinkToFit="0" vertical="center" wrapText="1"/>
    </xf>
    <xf borderId="0" fillId="12" fontId="18" numFmtId="49" xfId="0" applyAlignment="1" applyFont="1" applyNumberFormat="1">
      <alignment horizontal="center" shrinkToFit="0" vertical="center" wrapText="1"/>
    </xf>
    <xf borderId="2" fillId="10" fontId="3" numFmtId="0" xfId="0" applyAlignment="1" applyBorder="1" applyFont="1">
      <alignment horizontal="center" shrinkToFit="0" vertical="center" wrapText="1"/>
    </xf>
    <xf borderId="0" fillId="7" fontId="6" numFmtId="0" xfId="0" applyAlignment="1" applyFont="1">
      <alignment horizontal="center" shrinkToFit="0" vertical="center" wrapText="1"/>
    </xf>
    <xf borderId="0" fillId="7" fontId="6" numFmtId="165" xfId="0" applyAlignment="1" applyFont="1" applyNumberFormat="1">
      <alignment horizontal="center" shrinkToFit="0" vertical="center" wrapText="1"/>
    </xf>
    <xf borderId="0" fillId="7" fontId="6" numFmtId="14" xfId="0" applyAlignment="1" applyFont="1" applyNumberFormat="1">
      <alignment horizontal="center" shrinkToFit="0" vertical="center" wrapText="1"/>
    </xf>
    <xf borderId="0" fillId="7" fontId="6" numFmtId="4" xfId="0" applyAlignment="1" applyFont="1" applyNumberFormat="1">
      <alignment horizontal="center" shrinkToFit="0" vertical="center" wrapText="1"/>
    </xf>
    <xf borderId="0" fillId="8" fontId="6" numFmtId="0" xfId="0" applyAlignment="1" applyFont="1">
      <alignment horizontal="center" shrinkToFit="0" vertical="center" wrapText="1"/>
    </xf>
    <xf borderId="0" fillId="8" fontId="6" numFmtId="165" xfId="0" applyAlignment="1" applyFont="1" applyNumberFormat="1">
      <alignment horizontal="center" shrinkToFit="0" vertical="center" wrapText="1"/>
    </xf>
    <xf borderId="0" fillId="8" fontId="6" numFmtId="14" xfId="0" applyAlignment="1" applyFont="1" applyNumberFormat="1">
      <alignment horizontal="center" shrinkToFit="0" vertical="center" wrapText="1"/>
    </xf>
    <xf borderId="0" fillId="8" fontId="6" numFmtId="4" xfId="0" applyAlignment="1" applyFont="1" applyNumberFormat="1">
      <alignment horizontal="center" shrinkToFit="0" vertical="center" wrapText="1"/>
    </xf>
    <xf borderId="2" fillId="7" fontId="5" numFmtId="166" xfId="0" applyAlignment="1" applyBorder="1" applyFont="1" applyNumberFormat="1">
      <alignment horizontal="center" shrinkToFit="0" vertical="center" wrapText="1"/>
    </xf>
    <xf borderId="2" fillId="7" fontId="3" numFmtId="0" xfId="0" applyBorder="1" applyFont="1"/>
    <xf borderId="0" fillId="12" fontId="5" numFmtId="0" xfId="0" applyAlignment="1" applyFont="1">
      <alignment horizontal="center" shrinkToFit="0" vertical="center" wrapText="1"/>
    </xf>
    <xf borderId="2" fillId="12" fontId="5" numFmtId="0" xfId="0" applyAlignment="1" applyBorder="1" applyFont="1">
      <alignment horizontal="center" shrinkToFit="0" vertical="center" wrapText="1"/>
    </xf>
    <xf borderId="2" fillId="12" fontId="5" numFmtId="166" xfId="0" applyAlignment="1" applyBorder="1" applyFont="1" applyNumberFormat="1">
      <alignment horizontal="center" shrinkToFit="0" vertical="center" wrapText="1"/>
    </xf>
    <xf borderId="2" fillId="12" fontId="3" numFmtId="14" xfId="0" applyAlignment="1" applyBorder="1" applyFont="1" applyNumberFormat="1">
      <alignment horizontal="center" shrinkToFit="0" vertical="center" wrapText="1"/>
    </xf>
    <xf borderId="2" fillId="12" fontId="3" numFmtId="0" xfId="0" applyBorder="1" applyFont="1"/>
    <xf borderId="2" fillId="7" fontId="3" numFmtId="0" xfId="0" applyAlignment="1" applyBorder="1" applyFont="1">
      <alignment horizontal="center" vertical="center"/>
    </xf>
    <xf borderId="0" fillId="12" fontId="16" numFmtId="0" xfId="0" applyAlignment="1" applyFont="1">
      <alignment horizontal="center" shrinkToFit="0" vertical="center" wrapText="1"/>
    </xf>
    <xf borderId="0" fillId="12" fontId="18" numFmtId="0" xfId="0" applyAlignment="1" applyFont="1">
      <alignment horizontal="center" shrinkToFit="0" vertical="center" wrapText="1"/>
    </xf>
    <xf borderId="6" fillId="13" fontId="12" numFmtId="0" xfId="0" applyAlignment="1" applyBorder="1" applyFill="1" applyFont="1">
      <alignment horizontal="center" shrinkToFit="0" vertical="center" wrapText="1"/>
    </xf>
    <xf borderId="2" fillId="13" fontId="12" numFmtId="0" xfId="0" applyAlignment="1" applyBorder="1" applyFont="1">
      <alignment horizontal="center" shrinkToFit="0" vertical="center" wrapText="1"/>
    </xf>
    <xf borderId="2" fillId="0" fontId="6" numFmtId="0" xfId="0" applyAlignment="1" applyBorder="1" applyFont="1">
      <alignment horizontal="center" shrinkToFit="0" vertical="center" wrapText="1"/>
    </xf>
    <xf borderId="2" fillId="0" fontId="6" numFmtId="165" xfId="0" applyAlignment="1" applyBorder="1" applyFont="1" applyNumberFormat="1">
      <alignment horizontal="center" shrinkToFit="0" vertical="center" wrapText="1"/>
    </xf>
    <xf borderId="2" fillId="0" fontId="6" numFmtId="14" xfId="0" applyAlignment="1" applyBorder="1" applyFont="1" applyNumberFormat="1">
      <alignment horizontal="center" shrinkToFit="0" vertical="center" wrapText="1"/>
    </xf>
    <xf borderId="2" fillId="0" fontId="6" numFmtId="3" xfId="0" applyAlignment="1" applyBorder="1" applyFont="1" applyNumberFormat="1">
      <alignment horizontal="center" shrinkToFit="0" vertical="center" wrapText="1"/>
    </xf>
    <xf borderId="2" fillId="12" fontId="3" numFmtId="0" xfId="0" applyAlignment="1" applyBorder="1" applyFont="1">
      <alignment horizontal="center" vertical="center"/>
    </xf>
    <xf borderId="0" fillId="0" fontId="6" numFmtId="0" xfId="0" applyAlignment="1" applyFont="1">
      <alignment horizontal="center" shrinkToFit="0" vertical="center" wrapText="1"/>
    </xf>
    <xf borderId="0" fillId="0" fontId="6" numFmtId="165" xfId="0" applyAlignment="1" applyFont="1" applyNumberFormat="1">
      <alignment horizontal="center" shrinkToFit="0" vertical="center" wrapText="1"/>
    </xf>
    <xf borderId="0" fillId="0" fontId="6" numFmtId="14" xfId="0" applyAlignment="1" applyFont="1" applyNumberFormat="1">
      <alignment horizontal="center" shrinkToFit="0" vertical="center" wrapText="1"/>
    </xf>
    <xf borderId="0" fillId="0" fontId="6" numFmtId="3" xfId="0" applyAlignment="1" applyFont="1" applyNumberFormat="1">
      <alignment horizontal="center" shrinkToFit="0" vertical="center" wrapText="1"/>
    </xf>
    <xf borderId="0" fillId="0" fontId="6" numFmtId="0" xfId="0" applyFont="1"/>
    <xf borderId="2" fillId="9" fontId="17" numFmtId="0" xfId="0" applyAlignment="1" applyBorder="1" applyFont="1">
      <alignment horizontal="center" shrinkToFit="0" vertical="center" wrapText="1"/>
    </xf>
    <xf borderId="0" fillId="0" fontId="19" numFmtId="0" xfId="0" applyFont="1"/>
    <xf borderId="2" fillId="12" fontId="5" numFmtId="165" xfId="0" applyAlignment="1" applyBorder="1" applyFont="1" applyNumberFormat="1">
      <alignment horizontal="center" shrinkToFit="0" vertical="center" wrapText="1"/>
    </xf>
    <xf borderId="2" fillId="7" fontId="17" numFmtId="166" xfId="0" applyAlignment="1" applyBorder="1" applyFont="1" applyNumberFormat="1">
      <alignment horizontal="center" shrinkToFit="0" vertical="center" wrapText="1"/>
    </xf>
    <xf borderId="2" fillId="12" fontId="17" numFmtId="166" xfId="0" applyAlignment="1" applyBorder="1" applyFont="1" applyNumberFormat="1">
      <alignment horizontal="center" shrinkToFit="0" vertical="center" wrapText="1"/>
    </xf>
    <xf borderId="2" fillId="14" fontId="3" numFmtId="0" xfId="0" applyAlignment="1" applyBorder="1" applyFill="1" applyFont="1">
      <alignment horizontal="center" shrinkToFit="0" vertical="center" wrapText="1"/>
    </xf>
    <xf borderId="2" fillId="14" fontId="5" numFmtId="0" xfId="0" applyAlignment="1" applyBorder="1" applyFont="1">
      <alignment horizontal="center" shrinkToFit="0" vertical="center" wrapText="1"/>
    </xf>
    <xf borderId="2" fillId="14" fontId="5" numFmtId="166" xfId="0" applyAlignment="1" applyBorder="1" applyFont="1" applyNumberFormat="1">
      <alignment horizontal="center" shrinkToFit="0" vertical="center" wrapText="1"/>
    </xf>
    <xf borderId="2" fillId="14" fontId="3" numFmtId="4" xfId="0" applyAlignment="1" applyBorder="1" applyFont="1" applyNumberFormat="1">
      <alignment horizontal="center" shrinkToFit="0" vertical="center" wrapText="1"/>
    </xf>
    <xf borderId="2" fillId="14" fontId="3" numFmtId="14" xfId="0" applyAlignment="1" applyBorder="1" applyFont="1" applyNumberFormat="1">
      <alignment horizontal="center" shrinkToFit="0" vertical="center" wrapText="1"/>
    </xf>
    <xf borderId="2" fillId="14" fontId="16" numFmtId="0" xfId="0" applyAlignment="1" applyBorder="1" applyFont="1">
      <alignment horizontal="center" shrinkToFit="0" vertical="center" wrapText="1"/>
    </xf>
    <xf borderId="2" fillId="7" fontId="20" numFmtId="0" xfId="0" applyBorder="1" applyFont="1"/>
    <xf borderId="2" fillId="11" fontId="17" numFmtId="0" xfId="0" applyAlignment="1" applyBorder="1" applyFont="1">
      <alignment horizontal="center" shrinkToFit="0" vertical="center" wrapText="1"/>
    </xf>
    <xf borderId="2" fillId="12" fontId="6" numFmtId="49" xfId="0" applyAlignment="1" applyBorder="1" applyFont="1" applyNumberFormat="1">
      <alignment horizontal="center" shrinkToFit="0" vertical="center" wrapText="1"/>
    </xf>
    <xf borderId="0" fillId="7" fontId="16" numFmtId="0" xfId="0" applyAlignment="1" applyFont="1">
      <alignment horizontal="center" shrinkToFit="0" vertical="center" wrapText="1"/>
    </xf>
    <xf borderId="2" fillId="13" fontId="16" numFmtId="0" xfId="0" applyAlignment="1" applyBorder="1" applyFont="1">
      <alignment horizontal="center" shrinkToFit="0" vertical="center" wrapText="1"/>
    </xf>
    <xf borderId="2" fillId="13" fontId="17" numFmtId="0" xfId="0" applyAlignment="1" applyBorder="1" applyFont="1">
      <alignment horizontal="center" shrinkToFit="0" vertical="center" wrapText="1"/>
    </xf>
    <xf borderId="2" fillId="13" fontId="17" numFmtId="165" xfId="0" applyAlignment="1" applyBorder="1" applyFont="1" applyNumberFormat="1">
      <alignment horizontal="center" shrinkToFit="0" vertical="center" wrapText="1"/>
    </xf>
    <xf borderId="2" fillId="13" fontId="3" numFmtId="4" xfId="0" applyAlignment="1" applyBorder="1" applyFont="1" applyNumberFormat="1">
      <alignment horizontal="center" shrinkToFit="0" vertical="center" wrapText="1"/>
    </xf>
    <xf borderId="2" fillId="13" fontId="16" numFmtId="14" xfId="0" applyAlignment="1" applyBorder="1" applyFont="1" applyNumberFormat="1">
      <alignment horizontal="center" shrinkToFit="0" vertical="center" wrapText="1"/>
    </xf>
    <xf borderId="2" fillId="13" fontId="3" numFmtId="0" xfId="0" applyAlignment="1" applyBorder="1" applyFont="1">
      <alignment horizontal="center" shrinkToFit="0" vertical="center" wrapText="1"/>
    </xf>
    <xf borderId="2" fillId="13" fontId="18" numFmtId="49" xfId="0" applyAlignment="1" applyBorder="1" applyFont="1" applyNumberFormat="1">
      <alignment horizontal="center" shrinkToFit="0" vertical="center" wrapText="1"/>
    </xf>
    <xf borderId="2" fillId="13" fontId="18" numFmtId="0" xfId="0" applyAlignment="1" applyBorder="1" applyFont="1">
      <alignment horizontal="center" shrinkToFit="0" vertical="center" wrapText="1"/>
    </xf>
    <xf borderId="2" fillId="13" fontId="18" numFmtId="164" xfId="0" applyAlignment="1" applyBorder="1" applyFont="1" applyNumberFormat="1">
      <alignment horizontal="center" shrinkToFit="0" vertical="center" wrapText="1"/>
    </xf>
    <xf borderId="2" fillId="13" fontId="16" numFmtId="167" xfId="0" applyAlignment="1" applyBorder="1" applyFont="1" applyNumberFormat="1">
      <alignment horizontal="center" shrinkToFit="0" vertical="center" wrapText="1"/>
    </xf>
    <xf borderId="0" fillId="13" fontId="3" numFmtId="0" xfId="0" applyFont="1"/>
    <xf borderId="2" fillId="15" fontId="16" numFmtId="0" xfId="0" applyAlignment="1" applyBorder="1" applyFill="1" applyFont="1">
      <alignment horizontal="center" shrinkToFit="0" vertical="center" wrapText="1"/>
    </xf>
    <xf borderId="2" fillId="7" fontId="21" numFmtId="0" xfId="0" applyAlignment="1" applyBorder="1" applyFont="1">
      <alignment horizontal="center" shrinkToFit="0" vertical="center" wrapText="1"/>
    </xf>
    <xf borderId="2" fillId="12" fontId="22" numFmtId="0" xfId="0" applyAlignment="1" applyBorder="1" applyFont="1">
      <alignment horizontal="center" vertical="center"/>
    </xf>
    <xf borderId="2" fillId="7" fontId="22" numFmtId="0" xfId="0" applyAlignment="1" applyBorder="1" applyFont="1">
      <alignment horizontal="center" vertical="center"/>
    </xf>
    <xf borderId="0" fillId="7" fontId="18" numFmtId="0" xfId="0" applyAlignment="1" applyFont="1">
      <alignment horizontal="center" shrinkToFit="0" vertical="center" wrapText="1"/>
    </xf>
    <xf borderId="2" fillId="12" fontId="6" numFmtId="0" xfId="0" applyAlignment="1" applyBorder="1" applyFont="1">
      <alignment horizontal="center" shrinkToFit="0" vertical="center" wrapText="1"/>
    </xf>
    <xf borderId="2" fillId="10" fontId="5" numFmtId="0" xfId="0" applyAlignment="1" applyBorder="1" applyFont="1">
      <alignment horizontal="center" shrinkToFit="0" vertical="center" wrapText="1"/>
    </xf>
    <xf borderId="2" fillId="10" fontId="5" numFmtId="166" xfId="0" applyAlignment="1" applyBorder="1" applyFont="1" applyNumberFormat="1">
      <alignment horizontal="center" shrinkToFit="0" vertical="center" wrapText="1"/>
    </xf>
    <xf borderId="2" fillId="10" fontId="3" numFmtId="4" xfId="0" applyAlignment="1" applyBorder="1" applyFont="1" applyNumberFormat="1">
      <alignment horizontal="center" shrinkToFit="0" vertical="center" wrapText="1"/>
    </xf>
    <xf borderId="2" fillId="10" fontId="3" numFmtId="14" xfId="0" applyAlignment="1" applyBorder="1" applyFont="1" applyNumberFormat="1">
      <alignment horizontal="center" shrinkToFit="0" vertical="center" wrapText="1"/>
    </xf>
    <xf borderId="2" fillId="14" fontId="17" numFmtId="0" xfId="0" applyAlignment="1" applyBorder="1" applyFont="1">
      <alignment horizontal="center" shrinkToFit="0" vertical="center" wrapText="1"/>
    </xf>
    <xf borderId="2" fillId="14" fontId="17" numFmtId="166" xfId="0" applyAlignment="1" applyBorder="1" applyFont="1" applyNumberFormat="1">
      <alignment horizontal="center" shrinkToFit="0" vertical="center" wrapText="1"/>
    </xf>
    <xf borderId="2" fillId="14" fontId="16" numFmtId="14" xfId="0" applyAlignment="1" applyBorder="1" applyFont="1" applyNumberFormat="1">
      <alignment horizontal="center" shrinkToFit="0" vertical="center" wrapText="1"/>
    </xf>
    <xf borderId="2" fillId="7" fontId="23" numFmtId="0" xfId="0" applyAlignment="1" applyBorder="1" applyFont="1">
      <alignment horizontal="center" vertical="center"/>
    </xf>
    <xf borderId="2" fillId="12" fontId="5" numFmtId="0" xfId="0" applyAlignment="1" applyBorder="1" applyFont="1">
      <alignment horizontal="center" shrinkToFit="0" wrapText="1"/>
    </xf>
    <xf borderId="2" fillId="12" fontId="3" numFmtId="4" xfId="0" applyAlignment="1" applyBorder="1" applyFont="1" applyNumberFormat="1">
      <alignment horizontal="center" shrinkToFit="0" wrapText="1"/>
    </xf>
    <xf borderId="2" fillId="12" fontId="3" numFmtId="14" xfId="0" applyAlignment="1" applyBorder="1" applyFont="1" applyNumberFormat="1">
      <alignment horizontal="center" shrinkToFit="0" wrapText="1"/>
    </xf>
    <xf borderId="2" fillId="12" fontId="3" numFmtId="0" xfId="0" applyAlignment="1" applyBorder="1" applyFont="1">
      <alignment horizontal="center" shrinkToFit="0" wrapText="1"/>
    </xf>
    <xf borderId="2" fillId="12" fontId="6" numFmtId="0" xfId="0" applyBorder="1" applyFont="1"/>
    <xf borderId="2" fillId="7" fontId="21" numFmtId="0" xfId="0" applyAlignment="1" applyBorder="1" applyFont="1">
      <alignment horizontal="center" vertical="center"/>
    </xf>
    <xf borderId="2" fillId="7" fontId="6" numFmtId="49" xfId="0" applyAlignment="1" applyBorder="1" applyFont="1" applyNumberFormat="1">
      <alignment horizontal="center" shrinkToFit="0" vertical="center" wrapText="1"/>
    </xf>
    <xf borderId="2" fillId="7" fontId="16" numFmtId="164" xfId="0" applyAlignment="1" applyBorder="1" applyFont="1" applyNumberFormat="1">
      <alignment horizontal="center" shrinkToFit="0" vertical="center" wrapText="1"/>
    </xf>
    <xf borderId="0" fillId="6" fontId="12" numFmtId="0" xfId="0" applyAlignment="1" applyFont="1">
      <alignment horizontal="center" shrinkToFit="0" vertical="center" wrapText="1"/>
    </xf>
    <xf borderId="2" fillId="12" fontId="16" numFmtId="164" xfId="0" applyAlignment="1" applyBorder="1" applyFont="1" applyNumberFormat="1">
      <alignment horizontal="center" shrinkToFit="0" vertical="center" wrapText="1"/>
    </xf>
    <xf borderId="0" fillId="7" fontId="17" numFmtId="0" xfId="0" applyAlignment="1" applyFont="1">
      <alignment horizontal="center" shrinkToFit="0" vertical="center" wrapText="1"/>
    </xf>
    <xf borderId="2" fillId="0" fontId="17" numFmtId="165" xfId="0" applyAlignment="1" applyBorder="1" applyFont="1" applyNumberFormat="1">
      <alignment horizontal="center" shrinkToFit="0" vertical="center" wrapText="1"/>
    </xf>
    <xf borderId="2" fillId="0" fontId="18" numFmtId="49" xfId="0" applyAlignment="1" applyBorder="1" applyFont="1" applyNumberFormat="1">
      <alignment horizontal="center" shrinkToFit="0" vertical="center" wrapText="1"/>
    </xf>
    <xf borderId="0" fillId="7" fontId="24" numFmtId="0" xfId="0" applyAlignment="1" applyFont="1">
      <alignment horizontal="center"/>
    </xf>
  </cellXfs>
  <cellStyles count="1">
    <cellStyle xfId="0" name="Normal" builtinId="0"/>
  </cellStyles>
  <dxfs count="4">
    <dxf>
      <font/>
      <fill>
        <patternFill patternType="none"/>
      </fill>
      <border/>
    </dxf>
    <dxf>
      <font/>
      <fill>
        <patternFill patternType="solid">
          <fgColor rgb="FFFFFFFF"/>
          <bgColor rgb="FFFFFFFF"/>
        </patternFill>
      </fill>
      <border/>
    </dxf>
    <dxf>
      <font/>
      <fill>
        <patternFill patternType="solid">
          <fgColor rgb="FFCCCCCC"/>
          <bgColor rgb="FFCCCCCC"/>
        </patternFill>
      </fill>
      <border/>
    </dxf>
    <dxf>
      <font/>
      <fill>
        <patternFill patternType="solid">
          <fgColor rgb="FFB7E1CD"/>
          <bgColor rgb="FFB7E1CD"/>
        </patternFill>
      </fill>
      <border/>
    </dxf>
  </dxfs>
  <tableStyles count="1">
    <tableStyle count="2" pivot="0" name="PCA - GENÉRICO NÃO PREV. EM LOA-style">
      <tableStyleElement dxfId="1" type="firstRowStripe"/>
      <tableStyleElement dxfId="2"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A7:K542" displayName="Table_1" name="Table_1" id="1">
  <tableColumns count="11">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s>
  <tableStyleInfo name="PCA - GENÉRICO NÃO PREV. EM LOA-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891AD"/>
      </a:accent1>
      <a:accent2>
        <a:srgbClr val="004561"/>
      </a:accent2>
      <a:accent3>
        <a:srgbClr val="FF6F31"/>
      </a:accent3>
      <a:accent4>
        <a:srgbClr val="1C7685"/>
      </a:accent4>
      <a:accent5>
        <a:srgbClr val="0F45A8"/>
      </a:accent5>
      <a:accent6>
        <a:srgbClr val="4CDC8B"/>
      </a:accent6>
      <a:hlink>
        <a:srgbClr val="0097A7"/>
      </a:hlink>
      <a:folHlink>
        <a:srgbClr val="0097A7"/>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4.63"/>
    <col customWidth="1" min="2" max="2" width="101.88"/>
    <col customWidth="1" hidden="1" min="3" max="6" width="9.13"/>
    <col customWidth="1" min="7" max="22" width="8.63"/>
  </cols>
  <sheetData>
    <row r="1" ht="14.25" customHeight="1">
      <c r="A1" s="1" t="s">
        <v>0</v>
      </c>
      <c r="B1" s="2"/>
      <c r="C1" s="3"/>
      <c r="D1" s="3"/>
      <c r="E1" s="3"/>
      <c r="F1" s="3"/>
      <c r="G1" s="3"/>
      <c r="H1" s="3"/>
      <c r="I1" s="3"/>
      <c r="J1" s="3"/>
      <c r="K1" s="3"/>
      <c r="L1" s="3"/>
      <c r="M1" s="3"/>
      <c r="N1" s="3"/>
      <c r="O1" s="3"/>
      <c r="P1" s="3"/>
      <c r="Q1" s="3"/>
      <c r="R1" s="3"/>
      <c r="S1" s="3"/>
      <c r="T1" s="3"/>
      <c r="U1" s="3"/>
      <c r="V1" s="3"/>
      <c r="W1" s="3"/>
      <c r="X1" s="3"/>
      <c r="Y1" s="3"/>
      <c r="Z1" s="3"/>
    </row>
    <row r="2" ht="14.25" customHeight="1">
      <c r="A2" s="5" t="s">
        <v>1</v>
      </c>
      <c r="B2" s="6"/>
      <c r="C2" s="3"/>
      <c r="D2" s="3"/>
      <c r="E2" s="3"/>
      <c r="F2" s="3"/>
      <c r="G2" s="3"/>
      <c r="H2" s="3"/>
      <c r="I2" s="3"/>
      <c r="J2" s="3"/>
      <c r="K2" s="3"/>
      <c r="L2" s="3"/>
      <c r="M2" s="3"/>
      <c r="N2" s="3"/>
      <c r="O2" s="3"/>
      <c r="P2" s="3"/>
      <c r="Q2" s="3"/>
      <c r="R2" s="3"/>
      <c r="S2" s="3"/>
      <c r="T2" s="3"/>
      <c r="U2" s="3"/>
      <c r="V2" s="3"/>
      <c r="W2" s="3"/>
      <c r="X2" s="3"/>
      <c r="Y2" s="3"/>
      <c r="Z2" s="3"/>
    </row>
    <row r="3" ht="14.25" customHeight="1">
      <c r="A3" s="14" t="s">
        <v>3</v>
      </c>
      <c r="B3" s="17" t="s">
        <v>4</v>
      </c>
      <c r="C3" s="3"/>
      <c r="D3" s="3"/>
      <c r="E3" s="3"/>
      <c r="F3" s="3"/>
      <c r="G3" s="3"/>
      <c r="H3" s="3"/>
      <c r="I3" s="3"/>
      <c r="J3" s="3"/>
      <c r="K3" s="3"/>
      <c r="L3" s="3"/>
      <c r="M3" s="3"/>
      <c r="N3" s="3"/>
      <c r="O3" s="3"/>
      <c r="P3" s="3"/>
      <c r="Q3" s="3"/>
      <c r="R3" s="3"/>
      <c r="S3" s="3"/>
      <c r="T3" s="3"/>
      <c r="U3" s="3"/>
      <c r="V3" s="3"/>
      <c r="W3" s="3"/>
      <c r="X3" s="3"/>
      <c r="Y3" s="3"/>
      <c r="Z3" s="3"/>
    </row>
    <row r="4" ht="120.75" customHeight="1">
      <c r="A4" s="23" t="s">
        <v>8</v>
      </c>
      <c r="B4" s="26" t="s">
        <v>10</v>
      </c>
      <c r="C4" s="3"/>
      <c r="D4" s="3"/>
      <c r="E4" s="3"/>
      <c r="F4" s="3"/>
      <c r="G4" s="3"/>
      <c r="H4" s="3"/>
      <c r="I4" s="3"/>
      <c r="J4" s="3"/>
      <c r="K4" s="3"/>
      <c r="L4" s="3"/>
      <c r="M4" s="3"/>
      <c r="N4" s="3"/>
      <c r="O4" s="3"/>
      <c r="P4" s="3"/>
      <c r="Q4" s="3"/>
      <c r="R4" s="3"/>
      <c r="S4" s="3"/>
      <c r="T4" s="3"/>
      <c r="U4" s="3"/>
      <c r="V4" s="3"/>
      <c r="W4" s="3"/>
      <c r="X4" s="3"/>
      <c r="Y4" s="3"/>
      <c r="Z4" s="3"/>
    </row>
    <row r="5" ht="14.25" customHeight="1">
      <c r="A5" s="32" t="s">
        <v>11</v>
      </c>
      <c r="B5" s="17" t="s">
        <v>12</v>
      </c>
      <c r="C5" s="3"/>
      <c r="D5" s="3"/>
      <c r="E5" s="3"/>
      <c r="F5" s="3"/>
      <c r="G5" s="3"/>
      <c r="H5" s="3"/>
      <c r="I5" s="3"/>
      <c r="J5" s="3"/>
      <c r="K5" s="3"/>
      <c r="L5" s="3"/>
      <c r="M5" s="3"/>
      <c r="N5" s="3"/>
      <c r="O5" s="3"/>
      <c r="P5" s="3"/>
      <c r="Q5" s="3"/>
      <c r="R5" s="3"/>
      <c r="S5" s="3"/>
      <c r="T5" s="3"/>
      <c r="U5" s="3"/>
      <c r="V5" s="3"/>
      <c r="W5" s="3"/>
      <c r="X5" s="3"/>
      <c r="Y5" s="3"/>
      <c r="Z5" s="3"/>
    </row>
    <row r="6" ht="64.5" customHeight="1">
      <c r="A6" s="14" t="s">
        <v>14</v>
      </c>
      <c r="B6" s="17" t="s">
        <v>15</v>
      </c>
      <c r="C6" s="3"/>
      <c r="D6" s="3"/>
      <c r="E6" s="3"/>
      <c r="F6" s="3"/>
      <c r="G6" s="3"/>
      <c r="H6" s="3"/>
      <c r="I6" s="3"/>
      <c r="J6" s="3"/>
      <c r="K6" s="3"/>
      <c r="L6" s="3"/>
      <c r="M6" s="3"/>
      <c r="N6" s="3"/>
      <c r="O6" s="3"/>
      <c r="P6" s="3"/>
      <c r="Q6" s="3"/>
      <c r="R6" s="3"/>
      <c r="S6" s="3"/>
      <c r="T6" s="3"/>
      <c r="U6" s="3"/>
      <c r="V6" s="3"/>
      <c r="W6" s="3"/>
      <c r="X6" s="3"/>
      <c r="Y6" s="3"/>
      <c r="Z6" s="3"/>
    </row>
    <row r="7" ht="14.25" customHeight="1">
      <c r="A7" s="3"/>
      <c r="B7" s="3"/>
      <c r="C7" s="3"/>
      <c r="D7" s="3"/>
      <c r="E7" s="3"/>
      <c r="F7" s="3"/>
      <c r="G7" s="3"/>
      <c r="H7" s="3"/>
      <c r="I7" s="3"/>
      <c r="J7" s="3"/>
      <c r="K7" s="3"/>
      <c r="L7" s="3"/>
      <c r="M7" s="3"/>
      <c r="N7" s="3"/>
      <c r="O7" s="3"/>
      <c r="P7" s="3"/>
      <c r="Q7" s="3"/>
      <c r="R7" s="3"/>
      <c r="S7" s="3"/>
      <c r="T7" s="3"/>
      <c r="U7" s="3"/>
      <c r="V7" s="3"/>
      <c r="W7" s="3"/>
      <c r="X7" s="3"/>
      <c r="Y7" s="3"/>
      <c r="Z7" s="3"/>
    </row>
    <row r="8" ht="14.25" customHeight="1">
      <c r="A8" s="3"/>
      <c r="B8" s="3"/>
      <c r="C8" s="3"/>
      <c r="D8" s="3"/>
      <c r="E8" s="3"/>
      <c r="F8" s="3"/>
      <c r="G8" s="3"/>
      <c r="H8" s="3"/>
      <c r="I8" s="3"/>
      <c r="J8" s="3"/>
      <c r="K8" s="3"/>
      <c r="L8" s="3"/>
      <c r="M8" s="3"/>
      <c r="N8" s="3"/>
      <c r="O8" s="3"/>
      <c r="P8" s="3"/>
      <c r="Q8" s="3"/>
      <c r="R8" s="3"/>
      <c r="S8" s="3"/>
      <c r="T8" s="3"/>
      <c r="U8" s="3"/>
      <c r="V8" s="3"/>
      <c r="W8" s="3"/>
      <c r="X8" s="3"/>
      <c r="Y8" s="3"/>
      <c r="Z8" s="3"/>
    </row>
    <row r="9" ht="14.25" customHeight="1">
      <c r="A9" s="3"/>
      <c r="B9" s="3"/>
      <c r="C9" s="3"/>
      <c r="D9" s="3"/>
      <c r="E9" s="3"/>
      <c r="F9" s="3"/>
      <c r="G9" s="3"/>
      <c r="H9" s="3"/>
      <c r="I9" s="3"/>
      <c r="J9" s="3"/>
      <c r="K9" s="3"/>
      <c r="L9" s="3"/>
      <c r="M9" s="3"/>
      <c r="N9" s="3"/>
      <c r="O9" s="3"/>
      <c r="P9" s="3"/>
      <c r="Q9" s="3"/>
      <c r="R9" s="3"/>
      <c r="S9" s="3"/>
      <c r="T9" s="3"/>
      <c r="U9" s="3"/>
      <c r="V9" s="3"/>
      <c r="W9" s="3"/>
      <c r="X9" s="3"/>
      <c r="Y9" s="3"/>
      <c r="Z9" s="3"/>
    </row>
    <row r="10" ht="14.25" customHeight="1">
      <c r="A10" s="3"/>
      <c r="B10" s="3"/>
      <c r="C10" s="3"/>
      <c r="D10" s="3"/>
      <c r="E10" s="3"/>
      <c r="F10" s="3"/>
      <c r="G10" s="3"/>
      <c r="H10" s="3"/>
      <c r="I10" s="3"/>
      <c r="J10" s="3"/>
      <c r="K10" s="3"/>
      <c r="L10" s="3"/>
      <c r="M10" s="3"/>
      <c r="N10" s="3"/>
      <c r="O10" s="3"/>
      <c r="P10" s="3"/>
      <c r="Q10" s="3"/>
      <c r="R10" s="3"/>
      <c r="S10" s="3"/>
      <c r="T10" s="3"/>
      <c r="U10" s="3"/>
      <c r="V10" s="3"/>
      <c r="W10" s="3"/>
      <c r="X10" s="3"/>
      <c r="Y10" s="3"/>
      <c r="Z10" s="3"/>
    </row>
    <row r="11" ht="14.25" customHeight="1">
      <c r="A11" s="3"/>
      <c r="B11" s="3"/>
      <c r="C11" s="3"/>
      <c r="D11" s="3"/>
      <c r="E11" s="3"/>
      <c r="F11" s="3"/>
      <c r="G11" s="3"/>
      <c r="H11" s="3"/>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14.2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ht="14.25"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ht="14.2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ht="14.2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ht="14.2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xSplit="3.0" ySplit="11.0" topLeftCell="D12" activePane="bottomRight" state="frozen"/>
      <selection activeCell="D1" sqref="D1" pane="topRight"/>
      <selection activeCell="A12" sqref="A12" pane="bottomLeft"/>
      <selection activeCell="D12" sqref="D12" pane="bottomRight"/>
    </sheetView>
  </sheetViews>
  <sheetFormatPr customHeight="1" defaultColWidth="12.63" defaultRowHeight="15.0"/>
  <cols>
    <col customWidth="1" min="1" max="1" width="16.13"/>
    <col customWidth="1" min="2" max="2" width="19.75"/>
    <col customWidth="1" min="3" max="3" width="31.88"/>
    <col customWidth="1" min="4" max="4" width="14.88"/>
    <col customWidth="1" min="5" max="5" width="11.13"/>
    <col customWidth="1" min="6" max="6" width="29.25"/>
    <col customWidth="1" min="7" max="7" width="17.88"/>
    <col customWidth="1" min="8" max="8" width="15.25"/>
    <col customWidth="1" min="9" max="9" width="16.75"/>
    <col customWidth="1" min="10" max="10" width="16.25"/>
    <col customWidth="1" min="11" max="11" width="21.75"/>
    <col customWidth="1" min="12" max="12" width="16.88"/>
    <col customWidth="1" min="13" max="13" width="29.38"/>
    <col customWidth="1" min="14" max="17" width="15.5"/>
    <col customWidth="1" min="18" max="18" width="53.13"/>
    <col customWidth="1" min="19" max="19" width="14.75"/>
    <col customWidth="1" min="20" max="21" width="15.5"/>
    <col customWidth="1" min="22" max="22" width="16.5"/>
    <col customWidth="1" min="23" max="25" width="15.5"/>
    <col customWidth="1" min="26" max="26" width="17.13"/>
    <col customWidth="1" min="27" max="27" width="15.88"/>
    <col customWidth="1" min="28" max="28" width="21.75"/>
    <col customWidth="1" min="29" max="29" width="15.5"/>
    <col customWidth="1" min="30" max="31" width="15.88"/>
  </cols>
  <sheetData>
    <row r="1" ht="15.75" customHeight="1">
      <c r="A1" s="4"/>
      <c r="B1" s="4"/>
      <c r="C1" s="4"/>
      <c r="D1" s="4"/>
      <c r="E1" s="4"/>
      <c r="F1" s="4"/>
      <c r="G1" s="4"/>
      <c r="H1" s="4"/>
      <c r="I1" s="4"/>
      <c r="J1" s="4"/>
      <c r="K1" s="4"/>
      <c r="L1" s="4"/>
      <c r="M1" s="9"/>
      <c r="N1" s="11"/>
      <c r="O1" s="4"/>
      <c r="P1" s="4"/>
      <c r="Q1" s="4"/>
      <c r="R1" s="12"/>
      <c r="S1" s="4"/>
      <c r="T1" s="4"/>
      <c r="U1" s="4"/>
      <c r="V1" s="4"/>
      <c r="W1" s="15"/>
      <c r="X1" s="4"/>
      <c r="Y1" s="15"/>
      <c r="Z1" s="4"/>
      <c r="AA1" s="4"/>
      <c r="AB1" s="4"/>
      <c r="AC1" s="4"/>
      <c r="AD1" s="4"/>
      <c r="AE1" s="4"/>
    </row>
    <row r="2" ht="45.75" customHeight="1">
      <c r="A2" s="21"/>
      <c r="B2" s="22"/>
      <c r="C2" s="22"/>
      <c r="D2" s="22"/>
      <c r="E2" s="22"/>
      <c r="F2" s="25" t="s">
        <v>9</v>
      </c>
      <c r="G2" s="22"/>
      <c r="H2" s="22"/>
      <c r="I2" s="22"/>
      <c r="J2" s="22"/>
      <c r="K2" s="22"/>
      <c r="L2" s="22"/>
      <c r="M2" s="28"/>
      <c r="N2" s="30"/>
      <c r="O2" s="21"/>
      <c r="P2" s="21"/>
      <c r="Q2" s="21"/>
      <c r="R2" s="29"/>
      <c r="S2" s="21"/>
      <c r="T2" s="21"/>
      <c r="U2" s="21"/>
      <c r="V2" s="21"/>
      <c r="W2" s="31"/>
      <c r="X2" s="21"/>
      <c r="Y2" s="31"/>
      <c r="Z2" s="21"/>
      <c r="AA2" s="21"/>
      <c r="AB2" s="21"/>
      <c r="AC2" s="21"/>
      <c r="AD2" s="21"/>
      <c r="AE2" s="21"/>
    </row>
    <row r="3" ht="15.75" customHeight="1">
      <c r="A3" s="4"/>
      <c r="B3" s="4"/>
      <c r="C3" s="4"/>
      <c r="D3" s="4"/>
      <c r="E3" s="4"/>
      <c r="F3" s="4"/>
      <c r="G3" s="4"/>
      <c r="H3" s="4"/>
      <c r="I3" s="4"/>
      <c r="J3" s="4"/>
      <c r="K3" s="4"/>
      <c r="L3" s="4"/>
      <c r="M3" s="9"/>
      <c r="N3" s="11"/>
      <c r="O3" s="4"/>
      <c r="P3" s="4"/>
      <c r="Q3" s="35"/>
      <c r="R3" s="35"/>
      <c r="S3" s="35"/>
      <c r="T3" s="35"/>
      <c r="U3" s="35"/>
      <c r="V3" s="35"/>
      <c r="W3" s="36"/>
      <c r="X3" s="35"/>
      <c r="Y3" s="36"/>
      <c r="Z3" s="35"/>
      <c r="AA3" s="35"/>
      <c r="AB3" s="35"/>
      <c r="AC3" s="35"/>
      <c r="AD3" s="35"/>
      <c r="AE3" s="35"/>
    </row>
    <row r="4" ht="38.25" customHeight="1">
      <c r="A4" s="10"/>
      <c r="B4" s="37"/>
      <c r="C4" s="13" t="s">
        <v>2</v>
      </c>
      <c r="D4" s="38"/>
      <c r="E4" s="18" t="s">
        <v>5</v>
      </c>
      <c r="F4" s="19"/>
      <c r="G4" s="19"/>
      <c r="H4" s="20"/>
      <c r="I4" s="38"/>
      <c r="J4" s="38"/>
      <c r="K4" s="38"/>
      <c r="L4" s="38"/>
      <c r="M4" s="9"/>
      <c r="N4" s="37"/>
      <c r="O4" s="4"/>
      <c r="P4" s="4"/>
      <c r="Q4" s="35"/>
      <c r="R4" s="35"/>
      <c r="S4" s="35"/>
      <c r="T4" s="35"/>
      <c r="U4" s="35"/>
      <c r="V4" s="35"/>
      <c r="W4" s="36"/>
      <c r="X4" s="35"/>
      <c r="Y4" s="36"/>
      <c r="Z4" s="35"/>
      <c r="AA4" s="35"/>
      <c r="AB4" s="35"/>
      <c r="AC4" s="35"/>
      <c r="AD4" s="35"/>
      <c r="AE4" s="35"/>
    </row>
    <row r="5" ht="30.0" customHeight="1">
      <c r="A5" s="10"/>
      <c r="B5" s="37"/>
      <c r="C5" s="13" t="s">
        <v>6</v>
      </c>
      <c r="D5" s="38"/>
      <c r="E5" s="18" t="s">
        <v>7</v>
      </c>
      <c r="F5" s="19"/>
      <c r="G5" s="19"/>
      <c r="H5" s="20"/>
      <c r="I5" s="38"/>
      <c r="J5" s="42"/>
      <c r="L5" s="42"/>
      <c r="M5" s="9"/>
      <c r="N5" s="11"/>
      <c r="O5" s="4"/>
      <c r="P5" s="4"/>
      <c r="Q5" s="35"/>
      <c r="R5" s="35"/>
      <c r="S5" s="35"/>
      <c r="T5" s="35"/>
      <c r="U5" s="35"/>
      <c r="V5" s="35"/>
      <c r="W5" s="36"/>
      <c r="X5" s="35"/>
      <c r="Y5" s="36"/>
      <c r="Z5" s="35"/>
      <c r="AA5" s="35"/>
      <c r="AB5" s="35"/>
      <c r="AC5" s="35"/>
      <c r="AD5" s="35"/>
      <c r="AE5" s="35"/>
    </row>
    <row r="6" ht="15.75" customHeight="1">
      <c r="A6" s="4"/>
      <c r="B6" s="4"/>
      <c r="C6" s="4"/>
      <c r="D6" s="4"/>
      <c r="E6" s="4"/>
      <c r="F6" s="4"/>
      <c r="G6" s="4"/>
      <c r="H6" s="4"/>
      <c r="I6" s="4"/>
      <c r="J6" s="44" t="s">
        <v>16</v>
      </c>
      <c r="K6" s="46" t="s">
        <v>17</v>
      </c>
      <c r="L6" s="46" t="s">
        <v>18</v>
      </c>
      <c r="M6" s="9"/>
      <c r="N6" s="11"/>
      <c r="O6" s="4"/>
      <c r="P6" s="4" t="s">
        <v>19</v>
      </c>
      <c r="Q6" s="35"/>
      <c r="R6" s="35"/>
      <c r="S6" s="35"/>
      <c r="T6" s="35"/>
      <c r="U6" s="35"/>
      <c r="V6" s="35"/>
      <c r="W6" s="36"/>
      <c r="X6" s="35"/>
      <c r="Y6" s="36"/>
      <c r="Z6" s="35"/>
      <c r="AA6" s="35"/>
      <c r="AB6" s="35"/>
      <c r="AC6" s="35"/>
      <c r="AD6" s="35"/>
      <c r="AE6" s="35"/>
    </row>
    <row r="7" ht="15.75" customHeight="1">
      <c r="A7" s="4"/>
      <c r="B7" s="4"/>
      <c r="C7" s="4"/>
      <c r="D7" s="4"/>
      <c r="E7" s="4"/>
      <c r="F7" s="49"/>
      <c r="G7" s="4"/>
      <c r="H7" s="4"/>
      <c r="I7" s="4"/>
      <c r="J7" s="46" t="s">
        <v>5</v>
      </c>
      <c r="K7" s="51">
        <v>6360761.0</v>
      </c>
      <c r="L7" s="51">
        <v>10000.0</v>
      </c>
      <c r="M7" s="9"/>
      <c r="N7" s="11"/>
      <c r="O7" s="4"/>
      <c r="P7" s="4"/>
      <c r="Q7" s="35"/>
      <c r="R7" s="35"/>
      <c r="S7" s="35"/>
      <c r="T7" s="35"/>
      <c r="U7" s="35"/>
      <c r="V7" s="35"/>
      <c r="W7" s="36"/>
      <c r="X7" s="35"/>
      <c r="Y7" s="53"/>
      <c r="Z7" s="35"/>
      <c r="AA7" s="35"/>
      <c r="AB7" s="35"/>
      <c r="AC7" s="35"/>
      <c r="AD7" s="35"/>
      <c r="AE7" s="35"/>
    </row>
    <row r="8" ht="15.75" customHeight="1">
      <c r="A8" s="4"/>
      <c r="B8" s="4"/>
      <c r="C8" s="4"/>
      <c r="D8" s="4"/>
      <c r="E8" s="4"/>
      <c r="F8" s="49"/>
      <c r="G8" s="4"/>
      <c r="H8" s="4"/>
      <c r="I8" s="4"/>
      <c r="J8" s="46" t="s">
        <v>20</v>
      </c>
      <c r="K8" s="51">
        <v>1.193075E7</v>
      </c>
      <c r="L8" s="51">
        <v>1.0E7</v>
      </c>
      <c r="M8" s="9"/>
      <c r="N8" s="11" t="str">
        <f t="array" ref="N8">IF(SUBTOTAL(3, N12:N1117) = COUNTA(N12:N1117), "Nenhum filtro aplicado", INDEX(N12:N1117, MATCH(1, MAP(N12:N1117, LAMBDA(cel, SUBTOTAL(3, cel))), 0)))</f>
        <v>CBMES</v>
      </c>
      <c r="O8" s="4"/>
      <c r="P8" s="4"/>
      <c r="Q8" s="35"/>
      <c r="R8" s="35"/>
      <c r="S8" s="35"/>
      <c r="T8" s="35"/>
      <c r="U8" s="35"/>
      <c r="V8" s="35"/>
      <c r="W8" s="36"/>
      <c r="X8" s="35"/>
      <c r="Y8" s="53"/>
      <c r="Z8" s="35"/>
      <c r="AA8" s="35"/>
      <c r="AB8" s="35"/>
      <c r="AC8" s="35"/>
      <c r="AD8" s="35"/>
      <c r="AE8" s="35"/>
    </row>
    <row r="9" ht="15.75" customHeight="1">
      <c r="A9" s="4"/>
      <c r="B9" s="4"/>
      <c r="C9" s="4"/>
      <c r="D9" s="4"/>
      <c r="E9" s="4"/>
      <c r="G9" s="4"/>
      <c r="H9" s="4"/>
      <c r="I9" s="4"/>
      <c r="J9" s="46" t="s">
        <v>52</v>
      </c>
      <c r="K9" s="51">
        <v>1132073.0</v>
      </c>
      <c r="L9" s="51">
        <v>4.6739167E7</v>
      </c>
      <c r="M9" s="9"/>
      <c r="N9" s="63"/>
      <c r="O9" s="4"/>
      <c r="P9" s="4"/>
      <c r="Q9" s="35"/>
      <c r="R9" s="35"/>
      <c r="S9" s="35"/>
      <c r="T9" s="35"/>
      <c r="U9" s="35"/>
      <c r="V9" s="35"/>
      <c r="W9" s="36"/>
      <c r="X9" s="35"/>
      <c r="Y9" s="53"/>
      <c r="Z9" s="35"/>
      <c r="AA9" s="35"/>
      <c r="AB9" s="35"/>
      <c r="AC9" s="35"/>
      <c r="AD9" s="35"/>
      <c r="AE9" s="35"/>
    </row>
    <row r="10" ht="15.75" customHeight="1">
      <c r="A10" s="4"/>
      <c r="B10" s="4"/>
      <c r="C10" s="4"/>
      <c r="D10" s="4"/>
      <c r="E10" s="4"/>
      <c r="F10" s="54">
        <f>SUBTOTAL(9,F12:F1117)</f>
        <v>149287751.8</v>
      </c>
      <c r="G10" s="4"/>
      <c r="H10" s="4"/>
      <c r="I10" s="4"/>
      <c r="J10" s="46" t="s">
        <v>58</v>
      </c>
      <c r="K10" s="51">
        <v>1.45E7</v>
      </c>
      <c r="L10" s="51">
        <v>1.3334103E7</v>
      </c>
      <c r="M10" s="9"/>
      <c r="N10" s="69">
        <f>F10/104049276.75</f>
        <v>1.434779332</v>
      </c>
      <c r="O10" s="4"/>
      <c r="P10" s="4"/>
      <c r="Q10" s="35"/>
      <c r="R10" s="35"/>
      <c r="S10" s="35"/>
      <c r="T10" s="35"/>
      <c r="U10" s="35"/>
      <c r="V10" s="35"/>
      <c r="W10" s="36"/>
      <c r="X10" s="35"/>
      <c r="Y10" s="53"/>
      <c r="Z10" s="35"/>
      <c r="AA10" s="35"/>
      <c r="AB10" s="35"/>
      <c r="AC10" s="35"/>
      <c r="AD10" s="35"/>
      <c r="AE10" s="35"/>
    </row>
    <row r="11" ht="50.25" customHeight="1">
      <c r="A11" s="39" t="s">
        <v>21</v>
      </c>
      <c r="B11" s="39" t="s">
        <v>22</v>
      </c>
      <c r="C11" s="39" t="s">
        <v>23</v>
      </c>
      <c r="D11" s="55" t="s">
        <v>24</v>
      </c>
      <c r="E11" s="55" t="s">
        <v>25</v>
      </c>
      <c r="F11" s="55" t="s">
        <v>26</v>
      </c>
      <c r="G11" s="55" t="s">
        <v>27</v>
      </c>
      <c r="H11" s="39" t="s">
        <v>28</v>
      </c>
      <c r="I11" s="56" t="s">
        <v>29</v>
      </c>
      <c r="J11" s="19"/>
      <c r="K11" s="20"/>
      <c r="L11" s="55" t="s">
        <v>30</v>
      </c>
      <c r="M11" s="57" t="s">
        <v>31</v>
      </c>
      <c r="N11" s="39" t="s">
        <v>32</v>
      </c>
      <c r="O11" s="39" t="s">
        <v>33</v>
      </c>
      <c r="P11" s="39" t="s">
        <v>34</v>
      </c>
      <c r="Q11" s="39" t="s">
        <v>35</v>
      </c>
      <c r="R11" s="39" t="s">
        <v>36</v>
      </c>
      <c r="S11" s="39" t="s">
        <v>37</v>
      </c>
      <c r="T11" s="39" t="s">
        <v>38</v>
      </c>
      <c r="U11" s="39" t="s">
        <v>39</v>
      </c>
      <c r="V11" s="39" t="s">
        <v>40</v>
      </c>
      <c r="W11" s="58" t="s">
        <v>41</v>
      </c>
      <c r="X11" s="39" t="s">
        <v>42</v>
      </c>
      <c r="Y11" s="58" t="s">
        <v>43</v>
      </c>
      <c r="Z11" s="39" t="s">
        <v>44</v>
      </c>
      <c r="AA11" s="39" t="s">
        <v>45</v>
      </c>
      <c r="AB11" s="39" t="s">
        <v>46</v>
      </c>
      <c r="AC11" s="39" t="s">
        <v>47</v>
      </c>
      <c r="AD11" s="39" t="s">
        <v>48</v>
      </c>
      <c r="AE11" s="39"/>
    </row>
    <row r="12" ht="15.75" customHeight="1">
      <c r="A12" s="59" t="s">
        <v>63</v>
      </c>
      <c r="B12" s="71" t="s">
        <v>64</v>
      </c>
      <c r="C12" s="60" t="s">
        <v>65</v>
      </c>
      <c r="D12" s="60" t="s">
        <v>51</v>
      </c>
      <c r="E12" s="60">
        <v>40.0</v>
      </c>
      <c r="F12" s="72">
        <v>12720.0</v>
      </c>
      <c r="G12" s="73" t="s">
        <v>53</v>
      </c>
      <c r="H12" s="74">
        <v>46235.0</v>
      </c>
      <c r="I12" s="67" t="s">
        <v>17</v>
      </c>
      <c r="J12" s="67" t="s">
        <v>54</v>
      </c>
      <c r="K12" s="67" t="s">
        <v>66</v>
      </c>
      <c r="L12" s="67" t="s">
        <v>67</v>
      </c>
      <c r="M12" s="73" t="s">
        <v>68</v>
      </c>
      <c r="N12" s="67" t="s">
        <v>5</v>
      </c>
      <c r="O12" s="59" t="s">
        <v>69</v>
      </c>
      <c r="P12" s="59"/>
      <c r="Q12" s="59" t="s">
        <v>70</v>
      </c>
      <c r="R12" s="76" t="s">
        <v>71</v>
      </c>
      <c r="S12" s="59"/>
      <c r="T12" s="59"/>
      <c r="U12" s="77" t="str">
        <f t="array" ref="U12">IFERROR(INDEX(DFD!$D$2:$D$1048791,MATCH($Q12,DFD!$B$2:$B$1048791,0)),"")</f>
        <v/>
      </c>
      <c r="V12" s="77" t="str">
        <f t="array" ref="V12">IFERROR(INDEX(DFD!$F$2:$F$1048791,MATCH($Q12,DFD!$B$2:$B$1048791,0)),"")</f>
        <v/>
      </c>
      <c r="W12" s="84" t="str">
        <f t="array" ref="W12">IFERROR(INDEX(DFD!$E$2:$E$1048791,MATCH($Q12,DFD!$B$2:$B$1048791,0)),"")</f>
        <v/>
      </c>
      <c r="X12" s="84" t="str">
        <f t="array" ref="X12">IFERROR(INDEX(DFD!$K$2:$K$1048791,MATCH($Q12,DFD!$B$2:$B$1048791,0)),"")</f>
        <v/>
      </c>
      <c r="Y12" s="84" t="str">
        <f t="array" ref="Y12">IFERROR(INDEX(DFD!$L$2:$L$1048790,MATCH($Q12,DFD!$B$2:$B$1048790,0)),"")</f>
        <v/>
      </c>
      <c r="Z12" s="84">
        <f t="shared" ref="Z12:Z13" si="1">Y12+45</f>
        <v>45</v>
      </c>
      <c r="AA12" s="59"/>
      <c r="AB12" s="59" t="s">
        <v>78</v>
      </c>
      <c r="AC12" s="59"/>
      <c r="AD12" s="85">
        <v>46043.0</v>
      </c>
      <c r="AE12" s="86">
        <f t="shared" ref="AE12:AE83" si="2">SUBTOTAL(103, R12)</f>
        <v>1</v>
      </c>
    </row>
    <row r="13" ht="15.75" customHeight="1">
      <c r="A13" s="87" t="s">
        <v>79</v>
      </c>
      <c r="B13" s="87" t="s">
        <v>80</v>
      </c>
      <c r="C13" s="88" t="s">
        <v>65</v>
      </c>
      <c r="D13" s="88" t="s">
        <v>51</v>
      </c>
      <c r="E13" s="88">
        <v>30.0</v>
      </c>
      <c r="F13" s="89">
        <v>9540.0</v>
      </c>
      <c r="G13" s="90" t="s">
        <v>53</v>
      </c>
      <c r="H13" s="91">
        <v>46204.0</v>
      </c>
      <c r="I13" s="92" t="s">
        <v>17</v>
      </c>
      <c r="J13" s="92" t="s">
        <v>54</v>
      </c>
      <c r="K13" s="92" t="s">
        <v>66</v>
      </c>
      <c r="L13" s="92" t="s">
        <v>67</v>
      </c>
      <c r="M13" s="90" t="s">
        <v>68</v>
      </c>
      <c r="N13" s="92" t="s">
        <v>5</v>
      </c>
      <c r="O13" s="87" t="s">
        <v>69</v>
      </c>
      <c r="P13" s="87"/>
      <c r="Q13" s="87" t="s">
        <v>70</v>
      </c>
      <c r="R13" s="93" t="s">
        <v>71</v>
      </c>
      <c r="S13" s="87"/>
      <c r="T13" s="87"/>
      <c r="U13" s="94" t="str">
        <f t="array" ref="U13">IFERROR(INDEX(DFD!$D$2:$D$1048791,MATCH($Q13,DFD!$B$2:$B$1048791,0)),"")</f>
        <v/>
      </c>
      <c r="V13" s="94" t="str">
        <f t="array" ref="V13">IFERROR(INDEX(DFD!$F$2:$F$1048791,MATCH($Q13,DFD!$B$2:$B$1048791,0)),"")</f>
        <v/>
      </c>
      <c r="W13" s="97" t="str">
        <f t="array" ref="W13">IFERROR(INDEX(DFD!$E$2:$E$1048791,MATCH($Q13,DFD!$B$2:$B$1048791,0)),"")</f>
        <v/>
      </c>
      <c r="X13" s="97" t="str">
        <f t="array" ref="X13">IFERROR(INDEX(DFD!$K$2:$K$1048791,MATCH($Q13,DFD!$B$2:$B$1048791,0)),"")</f>
        <v/>
      </c>
      <c r="Y13" s="97" t="str">
        <f t="array" ref="Y13">IFERROR(INDEX(DFD!$L$2:$L$1048790,MATCH($Q13,DFD!$B$2:$B$1048790,0)),"")</f>
        <v/>
      </c>
      <c r="Z13" s="97">
        <f t="shared" si="1"/>
        <v>45</v>
      </c>
      <c r="AA13" s="87"/>
      <c r="AB13" s="87" t="s">
        <v>78</v>
      </c>
      <c r="AC13" s="87"/>
      <c r="AD13" s="99">
        <v>46043.0</v>
      </c>
      <c r="AE13" s="100">
        <f t="shared" si="2"/>
        <v>1</v>
      </c>
    </row>
    <row r="14" ht="15.75" customHeight="1">
      <c r="A14" s="59"/>
      <c r="B14" s="67" t="s">
        <v>87</v>
      </c>
      <c r="C14" s="81" t="s">
        <v>88</v>
      </c>
      <c r="D14" s="81" t="s">
        <v>51</v>
      </c>
      <c r="E14" s="81">
        <v>1.0</v>
      </c>
      <c r="F14" s="101">
        <v>250000.0</v>
      </c>
      <c r="G14" s="73" t="s">
        <v>53</v>
      </c>
      <c r="H14" s="83">
        <v>46204.0</v>
      </c>
      <c r="I14" s="67" t="s">
        <v>17</v>
      </c>
      <c r="J14" s="67" t="s">
        <v>54</v>
      </c>
      <c r="K14" s="67" t="s">
        <v>66</v>
      </c>
      <c r="L14" s="67" t="s">
        <v>67</v>
      </c>
      <c r="M14" s="73" t="s">
        <v>68</v>
      </c>
      <c r="N14" s="67" t="s">
        <v>20</v>
      </c>
      <c r="O14" s="67" t="s">
        <v>89</v>
      </c>
      <c r="P14" s="59"/>
      <c r="Q14" s="59"/>
      <c r="R14" s="81" t="s">
        <v>88</v>
      </c>
      <c r="S14" s="59"/>
      <c r="T14" s="59"/>
      <c r="U14" s="77"/>
      <c r="V14" s="77" t="s">
        <v>87</v>
      </c>
      <c r="W14" s="84"/>
      <c r="X14" s="84"/>
      <c r="Y14" s="84"/>
      <c r="Z14" s="84"/>
      <c r="AA14" s="59"/>
      <c r="AB14" s="59"/>
      <c r="AC14" s="59"/>
      <c r="AD14" s="85"/>
      <c r="AE14" s="86">
        <f t="shared" si="2"/>
        <v>1</v>
      </c>
    </row>
    <row r="15" ht="15.75" customHeight="1">
      <c r="A15" s="87" t="s">
        <v>90</v>
      </c>
      <c r="B15" s="87" t="s">
        <v>91</v>
      </c>
      <c r="C15" s="88" t="s">
        <v>65</v>
      </c>
      <c r="D15" s="88" t="s">
        <v>51</v>
      </c>
      <c r="E15" s="88">
        <v>20.0</v>
      </c>
      <c r="F15" s="89">
        <v>6360.0</v>
      </c>
      <c r="G15" s="90" t="s">
        <v>53</v>
      </c>
      <c r="H15" s="91">
        <v>46204.0</v>
      </c>
      <c r="I15" s="92" t="s">
        <v>17</v>
      </c>
      <c r="J15" s="92" t="s">
        <v>54</v>
      </c>
      <c r="K15" s="92" t="s">
        <v>66</v>
      </c>
      <c r="L15" s="92" t="s">
        <v>67</v>
      </c>
      <c r="M15" s="90" t="s">
        <v>68</v>
      </c>
      <c r="N15" s="92" t="s">
        <v>5</v>
      </c>
      <c r="O15" s="87" t="s">
        <v>69</v>
      </c>
      <c r="P15" s="87"/>
      <c r="Q15" s="87" t="s">
        <v>70</v>
      </c>
      <c r="R15" s="93" t="s">
        <v>71</v>
      </c>
      <c r="S15" s="87"/>
      <c r="T15" s="87"/>
      <c r="U15" s="94" t="str">
        <f t="array" ref="U15">IFERROR(INDEX(DFD!$D$2:$D$1048791,MATCH($Q15,DFD!$B$2:$B$1048791,0)),"")</f>
        <v/>
      </c>
      <c r="V15" s="94" t="str">
        <f t="array" ref="V15">IFERROR(INDEX(DFD!$F$2:$F$1048791,MATCH($Q15,DFD!$B$2:$B$1048791,0)),"")</f>
        <v/>
      </c>
      <c r="W15" s="97" t="str">
        <f t="array" ref="W15">IFERROR(INDEX(DFD!$E$2:$E$1048791,MATCH($Q15,DFD!$B$2:$B$1048791,0)),"")</f>
        <v/>
      </c>
      <c r="X15" s="97" t="str">
        <f t="array" ref="X15">IFERROR(INDEX(DFD!$K$2:$K$1048791,MATCH($Q15,DFD!$B$2:$B$1048791,0)),"")</f>
        <v/>
      </c>
      <c r="Y15" s="97" t="str">
        <f t="array" ref="Y15">IFERROR(INDEX(DFD!$L$2:$L$1048790,MATCH($Q15,DFD!$B$2:$B$1048790,0)),"")</f>
        <v/>
      </c>
      <c r="Z15" s="97">
        <f t="shared" ref="Z15:Z32" si="3">Y15+45</f>
        <v>45</v>
      </c>
      <c r="AA15" s="87"/>
      <c r="AB15" s="87" t="s">
        <v>78</v>
      </c>
      <c r="AC15" s="87"/>
      <c r="AD15" s="99">
        <v>46043.0</v>
      </c>
      <c r="AE15" s="100">
        <f t="shared" si="2"/>
        <v>1</v>
      </c>
    </row>
    <row r="16" ht="15.75" customHeight="1">
      <c r="A16" s="59" t="s">
        <v>93</v>
      </c>
      <c r="B16" s="59" t="s">
        <v>94</v>
      </c>
      <c r="C16" s="60" t="s">
        <v>65</v>
      </c>
      <c r="D16" s="60" t="s">
        <v>51</v>
      </c>
      <c r="E16" s="60">
        <v>20.0</v>
      </c>
      <c r="F16" s="72">
        <v>6360.0</v>
      </c>
      <c r="G16" s="73" t="s">
        <v>53</v>
      </c>
      <c r="H16" s="74">
        <v>46204.0</v>
      </c>
      <c r="I16" s="67" t="s">
        <v>17</v>
      </c>
      <c r="J16" s="67" t="s">
        <v>54</v>
      </c>
      <c r="K16" s="67" t="s">
        <v>66</v>
      </c>
      <c r="L16" s="67" t="s">
        <v>67</v>
      </c>
      <c r="M16" s="73" t="s">
        <v>68</v>
      </c>
      <c r="N16" s="67" t="s">
        <v>5</v>
      </c>
      <c r="O16" s="59" t="s">
        <v>69</v>
      </c>
      <c r="P16" s="59"/>
      <c r="Q16" s="59" t="s">
        <v>70</v>
      </c>
      <c r="R16" s="76" t="s">
        <v>71</v>
      </c>
      <c r="S16" s="59"/>
      <c r="T16" s="59"/>
      <c r="U16" s="77" t="str">
        <f t="array" ref="U16">IFERROR(INDEX(DFD!$D$2:$D$1048791,MATCH($Q16,DFD!$B$2:$B$1048791,0)),"")</f>
        <v/>
      </c>
      <c r="V16" s="77" t="str">
        <f t="array" ref="V16">IFERROR(INDEX(DFD!$F$2:$F$1048791,MATCH($Q16,DFD!$B$2:$B$1048791,0)),"")</f>
        <v/>
      </c>
      <c r="W16" s="84" t="str">
        <f t="array" ref="W16">IFERROR(INDEX(DFD!$E$2:$E$1048791,MATCH($Q16,DFD!$B$2:$B$1048791,0)),"")</f>
        <v/>
      </c>
      <c r="X16" s="84" t="str">
        <f t="array" ref="X16">IFERROR(INDEX(DFD!$K$2:$K$1048791,MATCH($Q16,DFD!$B$2:$B$1048791,0)),"")</f>
        <v/>
      </c>
      <c r="Y16" s="84" t="str">
        <f t="array" ref="Y16">IFERROR(INDEX(DFD!$L$2:$L$1048790,MATCH($Q16,DFD!$B$2:$B$1048790,0)),"")</f>
        <v/>
      </c>
      <c r="Z16" s="84">
        <f t="shared" si="3"/>
        <v>45</v>
      </c>
      <c r="AA16" s="59"/>
      <c r="AB16" s="59" t="s">
        <v>78</v>
      </c>
      <c r="AC16" s="59"/>
      <c r="AD16" s="85">
        <v>46043.0</v>
      </c>
      <c r="AE16" s="86">
        <f t="shared" si="2"/>
        <v>1</v>
      </c>
    </row>
    <row r="17" ht="15.75" customHeight="1">
      <c r="A17" s="87" t="s">
        <v>97</v>
      </c>
      <c r="B17" s="87" t="s">
        <v>98</v>
      </c>
      <c r="C17" s="88" t="s">
        <v>65</v>
      </c>
      <c r="D17" s="88" t="s">
        <v>51</v>
      </c>
      <c r="E17" s="88">
        <v>20.0</v>
      </c>
      <c r="F17" s="89">
        <v>6360.0</v>
      </c>
      <c r="G17" s="90" t="s">
        <v>53</v>
      </c>
      <c r="H17" s="91">
        <v>46204.0</v>
      </c>
      <c r="I17" s="92" t="s">
        <v>17</v>
      </c>
      <c r="J17" s="92" t="s">
        <v>54</v>
      </c>
      <c r="K17" s="92" t="s">
        <v>66</v>
      </c>
      <c r="L17" s="92" t="s">
        <v>67</v>
      </c>
      <c r="M17" s="90" t="s">
        <v>68</v>
      </c>
      <c r="N17" s="92" t="s">
        <v>5</v>
      </c>
      <c r="O17" s="92" t="s">
        <v>89</v>
      </c>
      <c r="P17" s="87"/>
      <c r="Q17" s="87" t="s">
        <v>70</v>
      </c>
      <c r="R17" s="103" t="s">
        <v>71</v>
      </c>
      <c r="S17" s="87"/>
      <c r="T17" s="87"/>
      <c r="U17" s="94" t="str">
        <f t="array" ref="U17">IFERROR(INDEX(DFD!$D$2:$D$1048791,MATCH($Q17,DFD!$B$2:$B$1048791,0)),"")</f>
        <v/>
      </c>
      <c r="V17" s="94" t="str">
        <f t="array" ref="V17">IFERROR(INDEX(DFD!$F$2:$F$1048791,MATCH($Q17,DFD!$B$2:$B$1048791,0)),"")</f>
        <v/>
      </c>
      <c r="W17" s="97" t="str">
        <f t="array" ref="W17">IFERROR(INDEX(DFD!$E$2:$E$1048791,MATCH($Q17,DFD!$B$2:$B$1048791,0)),"")</f>
        <v/>
      </c>
      <c r="X17" s="97" t="str">
        <f t="array" ref="X17">IFERROR(INDEX(DFD!$K$2:$K$1048791,MATCH($Q17,DFD!$B$2:$B$1048791,0)),"")</f>
        <v/>
      </c>
      <c r="Y17" s="97" t="str">
        <f t="array" ref="Y17">IFERROR(INDEX(DFD!$L$2:$L$1048790,MATCH($Q17,DFD!$B$2:$B$1048790,0)),"")</f>
        <v/>
      </c>
      <c r="Z17" s="97">
        <f t="shared" si="3"/>
        <v>45</v>
      </c>
      <c r="AA17" s="87"/>
      <c r="AB17" s="87" t="s">
        <v>78</v>
      </c>
      <c r="AC17" s="87"/>
      <c r="AD17" s="99">
        <v>46043.0</v>
      </c>
      <c r="AE17" s="100">
        <f t="shared" si="2"/>
        <v>1</v>
      </c>
    </row>
    <row r="18" ht="15.75" customHeight="1">
      <c r="A18" s="59" t="s">
        <v>100</v>
      </c>
      <c r="B18" s="59" t="s">
        <v>101</v>
      </c>
      <c r="C18" s="60" t="s">
        <v>65</v>
      </c>
      <c r="D18" s="60" t="s">
        <v>51</v>
      </c>
      <c r="E18" s="60">
        <v>20.0</v>
      </c>
      <c r="F18" s="72">
        <v>6360.0</v>
      </c>
      <c r="G18" s="73" t="s">
        <v>53</v>
      </c>
      <c r="H18" s="74">
        <v>46204.0</v>
      </c>
      <c r="I18" s="67" t="s">
        <v>17</v>
      </c>
      <c r="J18" s="67" t="s">
        <v>54</v>
      </c>
      <c r="K18" s="67" t="s">
        <v>66</v>
      </c>
      <c r="L18" s="67" t="s">
        <v>56</v>
      </c>
      <c r="M18" s="73" t="s">
        <v>68</v>
      </c>
      <c r="N18" s="67" t="s">
        <v>58</v>
      </c>
      <c r="O18" s="59" t="s">
        <v>69</v>
      </c>
      <c r="P18" s="59"/>
      <c r="Q18" s="59" t="s">
        <v>70</v>
      </c>
      <c r="R18" s="76" t="s">
        <v>71</v>
      </c>
      <c r="S18" s="59"/>
      <c r="T18" s="59"/>
      <c r="U18" s="77" t="str">
        <f t="array" ref="U18">IFERROR(INDEX(DFD!$D$2:$D$1048791,MATCH($Q18,DFD!$B$2:$B$1048791,0)),"")</f>
        <v/>
      </c>
      <c r="V18" s="77" t="str">
        <f t="array" ref="V18">IFERROR(INDEX(DFD!$F$2:$F$1048791,MATCH($Q18,DFD!$B$2:$B$1048791,0)),"")</f>
        <v/>
      </c>
      <c r="W18" s="84" t="str">
        <f t="array" ref="W18">IFERROR(INDEX(DFD!$E$2:$E$1048791,MATCH($Q18,DFD!$B$2:$B$1048791,0)),"")</f>
        <v/>
      </c>
      <c r="X18" s="84" t="str">
        <f t="array" ref="X18">IFERROR(INDEX(DFD!$K$2:$K$1048791,MATCH($Q18,DFD!$B$2:$B$1048791,0)),"")</f>
        <v/>
      </c>
      <c r="Y18" s="84" t="str">
        <f t="array" ref="Y18">IFERROR(INDEX(DFD!$L$2:$L$1048790,MATCH($Q18,DFD!$B$2:$B$1048790,0)),"")</f>
        <v/>
      </c>
      <c r="Z18" s="84">
        <f t="shared" si="3"/>
        <v>45</v>
      </c>
      <c r="AA18" s="59"/>
      <c r="AB18" s="59" t="s">
        <v>78</v>
      </c>
      <c r="AC18" s="59"/>
      <c r="AD18" s="85">
        <v>46043.0</v>
      </c>
      <c r="AE18" s="86">
        <f t="shared" si="2"/>
        <v>1</v>
      </c>
    </row>
    <row r="19" ht="15.75" customHeight="1">
      <c r="A19" s="87" t="s">
        <v>103</v>
      </c>
      <c r="B19" s="87" t="s">
        <v>92</v>
      </c>
      <c r="C19" s="88" t="s">
        <v>65</v>
      </c>
      <c r="D19" s="88" t="s">
        <v>51</v>
      </c>
      <c r="E19" s="88">
        <v>10.0</v>
      </c>
      <c r="F19" s="89">
        <v>3180.0</v>
      </c>
      <c r="G19" s="90" t="s">
        <v>53</v>
      </c>
      <c r="H19" s="91">
        <v>46174.0</v>
      </c>
      <c r="I19" s="92" t="s">
        <v>17</v>
      </c>
      <c r="J19" s="92" t="s">
        <v>54</v>
      </c>
      <c r="K19" s="92" t="s">
        <v>66</v>
      </c>
      <c r="L19" s="92" t="s">
        <v>67</v>
      </c>
      <c r="M19" s="90" t="s">
        <v>104</v>
      </c>
      <c r="N19" s="92" t="s">
        <v>5</v>
      </c>
      <c r="O19" s="87" t="s">
        <v>69</v>
      </c>
      <c r="P19" s="87"/>
      <c r="Q19" s="87" t="s">
        <v>70</v>
      </c>
      <c r="R19" s="93" t="s">
        <v>71</v>
      </c>
      <c r="S19" s="87"/>
      <c r="T19" s="87"/>
      <c r="U19" s="94" t="str">
        <f t="array" ref="U19">IFERROR(INDEX(DFD!$D$2:$D$1048791,MATCH($Q19,DFD!$B$2:$B$1048791,0)),"")</f>
        <v/>
      </c>
      <c r="V19" s="94" t="str">
        <f t="array" ref="V19">IFERROR(INDEX(DFD!$F$2:$F$1048791,MATCH($Q19,DFD!$B$2:$B$1048791,0)),"")</f>
        <v/>
      </c>
      <c r="W19" s="97" t="str">
        <f t="array" ref="W19">IFERROR(INDEX(DFD!$E$2:$E$1048791,MATCH($Q19,DFD!$B$2:$B$1048791,0)),"")</f>
        <v/>
      </c>
      <c r="X19" s="97" t="str">
        <f t="array" ref="X19">IFERROR(INDEX(DFD!$K$2:$K$1048791,MATCH($Q19,DFD!$B$2:$B$1048791,0)),"")</f>
        <v/>
      </c>
      <c r="Y19" s="97" t="str">
        <f t="array" ref="Y19">IFERROR(INDEX(DFD!$L$2:$L$1048790,MATCH($Q19,DFD!$B$2:$B$1048790,0)),"")</f>
        <v/>
      </c>
      <c r="Z19" s="97">
        <f t="shared" si="3"/>
        <v>45</v>
      </c>
      <c r="AA19" s="87"/>
      <c r="AB19" s="87" t="s">
        <v>78</v>
      </c>
      <c r="AC19" s="87"/>
      <c r="AD19" s="99">
        <v>46043.0</v>
      </c>
      <c r="AE19" s="100">
        <f t="shared" si="2"/>
        <v>1</v>
      </c>
    </row>
    <row r="20" ht="15.75" customHeight="1">
      <c r="A20" s="59" t="s">
        <v>106</v>
      </c>
      <c r="B20" s="59" t="s">
        <v>107</v>
      </c>
      <c r="C20" s="60" t="s">
        <v>65</v>
      </c>
      <c r="D20" s="60" t="s">
        <v>51</v>
      </c>
      <c r="E20" s="60">
        <v>10.0</v>
      </c>
      <c r="F20" s="72">
        <v>3180.0</v>
      </c>
      <c r="G20" s="73" t="s">
        <v>53</v>
      </c>
      <c r="H20" s="74">
        <v>46174.0</v>
      </c>
      <c r="I20" s="67" t="s">
        <v>17</v>
      </c>
      <c r="J20" s="67" t="s">
        <v>54</v>
      </c>
      <c r="K20" s="67" t="s">
        <v>66</v>
      </c>
      <c r="L20" s="67" t="s">
        <v>67</v>
      </c>
      <c r="M20" s="73" t="s">
        <v>104</v>
      </c>
      <c r="N20" s="67" t="s">
        <v>5</v>
      </c>
      <c r="O20" s="67" t="s">
        <v>89</v>
      </c>
      <c r="P20" s="59"/>
      <c r="Q20" s="59" t="s">
        <v>70</v>
      </c>
      <c r="R20" s="76" t="s">
        <v>71</v>
      </c>
      <c r="S20" s="59"/>
      <c r="T20" s="59"/>
      <c r="U20" s="77" t="str">
        <f t="array" ref="U20">IFERROR(INDEX(DFD!$D$2:$D$1048791,MATCH($Q20,DFD!$B$2:$B$1048791,0)),"")</f>
        <v/>
      </c>
      <c r="V20" s="77" t="str">
        <f t="array" ref="V20">IFERROR(INDEX(DFD!$F$2:$F$1048791,MATCH($Q20,DFD!$B$2:$B$1048791,0)),"")</f>
        <v/>
      </c>
      <c r="W20" s="84" t="str">
        <f t="array" ref="W20">IFERROR(INDEX(DFD!$E$2:$E$1048791,MATCH($Q20,DFD!$B$2:$B$1048791,0)),"")</f>
        <v/>
      </c>
      <c r="X20" s="84" t="str">
        <f t="array" ref="X20">IFERROR(INDEX(DFD!$K$2:$K$1048791,MATCH($Q20,DFD!$B$2:$B$1048791,0)),"")</f>
        <v/>
      </c>
      <c r="Y20" s="84" t="str">
        <f t="array" ref="Y20">IFERROR(INDEX(DFD!$L$2:$L$1048790,MATCH($Q20,DFD!$B$2:$B$1048790,0)),"")</f>
        <v/>
      </c>
      <c r="Z20" s="84">
        <f t="shared" si="3"/>
        <v>45</v>
      </c>
      <c r="AA20" s="59"/>
      <c r="AB20" s="59" t="s">
        <v>78</v>
      </c>
      <c r="AC20" s="59"/>
      <c r="AD20" s="85">
        <v>46043.0</v>
      </c>
      <c r="AE20" s="86">
        <f t="shared" si="2"/>
        <v>1</v>
      </c>
    </row>
    <row r="21" ht="15.75" customHeight="1">
      <c r="A21" s="87" t="s">
        <v>108</v>
      </c>
      <c r="B21" s="87" t="s">
        <v>81</v>
      </c>
      <c r="C21" s="88" t="s">
        <v>65</v>
      </c>
      <c r="D21" s="88" t="s">
        <v>51</v>
      </c>
      <c r="E21" s="88">
        <v>10.0</v>
      </c>
      <c r="F21" s="89">
        <v>3180.0</v>
      </c>
      <c r="G21" s="90" t="s">
        <v>53</v>
      </c>
      <c r="H21" s="91">
        <v>46174.0</v>
      </c>
      <c r="I21" s="92" t="s">
        <v>17</v>
      </c>
      <c r="J21" s="92" t="s">
        <v>54</v>
      </c>
      <c r="K21" s="92" t="s">
        <v>66</v>
      </c>
      <c r="L21" s="92" t="s">
        <v>67</v>
      </c>
      <c r="M21" s="90" t="s">
        <v>104</v>
      </c>
      <c r="N21" s="92" t="s">
        <v>5</v>
      </c>
      <c r="O21" s="87" t="s">
        <v>69</v>
      </c>
      <c r="P21" s="87"/>
      <c r="Q21" s="87" t="s">
        <v>70</v>
      </c>
      <c r="R21" s="93" t="s">
        <v>71</v>
      </c>
      <c r="S21" s="87"/>
      <c r="T21" s="87"/>
      <c r="U21" s="94" t="str">
        <f t="array" ref="U21">IFERROR(INDEX(DFD!$D$2:$D$1048791,MATCH($Q21,DFD!$B$2:$B$1048791,0)),"")</f>
        <v/>
      </c>
      <c r="V21" s="94" t="str">
        <f t="array" ref="V21">IFERROR(INDEX(DFD!$F$2:$F$1048791,MATCH($Q21,DFD!$B$2:$B$1048791,0)),"")</f>
        <v/>
      </c>
      <c r="W21" s="97" t="str">
        <f t="array" ref="W21">IFERROR(INDEX(DFD!$E$2:$E$1048791,MATCH($Q21,DFD!$B$2:$B$1048791,0)),"")</f>
        <v/>
      </c>
      <c r="X21" s="97" t="str">
        <f t="array" ref="X21">IFERROR(INDEX(DFD!$K$2:$K$1048791,MATCH($Q21,DFD!$B$2:$B$1048791,0)),"")</f>
        <v/>
      </c>
      <c r="Y21" s="97" t="str">
        <f t="array" ref="Y21">IFERROR(INDEX(DFD!$L$2:$L$1048790,MATCH($Q21,DFD!$B$2:$B$1048790,0)),"")</f>
        <v/>
      </c>
      <c r="Z21" s="97">
        <f t="shared" si="3"/>
        <v>45</v>
      </c>
      <c r="AA21" s="87"/>
      <c r="AB21" s="87" t="s">
        <v>78</v>
      </c>
      <c r="AC21" s="87"/>
      <c r="AD21" s="99">
        <v>46043.0</v>
      </c>
      <c r="AE21" s="100">
        <f t="shared" si="2"/>
        <v>1</v>
      </c>
    </row>
    <row r="22" ht="15.75" customHeight="1">
      <c r="A22" s="59" t="s">
        <v>110</v>
      </c>
      <c r="B22" s="59" t="s">
        <v>98</v>
      </c>
      <c r="C22" s="60" t="s">
        <v>111</v>
      </c>
      <c r="D22" s="60" t="s">
        <v>51</v>
      </c>
      <c r="E22" s="60">
        <v>6.0</v>
      </c>
      <c r="F22" s="72">
        <v>300.0</v>
      </c>
      <c r="G22" s="73" t="s">
        <v>53</v>
      </c>
      <c r="H22" s="74">
        <v>46174.0</v>
      </c>
      <c r="I22" s="67" t="s">
        <v>17</v>
      </c>
      <c r="J22" s="67" t="s">
        <v>54</v>
      </c>
      <c r="K22" s="67" t="s">
        <v>66</v>
      </c>
      <c r="L22" s="67" t="s">
        <v>67</v>
      </c>
      <c r="M22" s="73" t="s">
        <v>112</v>
      </c>
      <c r="N22" s="67" t="s">
        <v>5</v>
      </c>
      <c r="O22" s="59" t="s">
        <v>69</v>
      </c>
      <c r="P22" s="59"/>
      <c r="Q22" s="59" t="s">
        <v>113</v>
      </c>
      <c r="R22" s="76" t="s">
        <v>114</v>
      </c>
      <c r="S22" s="59"/>
      <c r="T22" s="59"/>
      <c r="U22" s="77" t="str">
        <f t="array" ref="U22">IFERROR(INDEX(DFD!$D$2:$D$1048791,MATCH($Q22,DFD!$B$2:$B$1048791,0)),"")</f>
        <v/>
      </c>
      <c r="V22" s="77" t="str">
        <f t="array" ref="V22">IFERROR(INDEX(DFD!$F$2:$F$1048791,MATCH($Q22,DFD!$B$2:$B$1048791,0)),"")</f>
        <v/>
      </c>
      <c r="W22" s="84" t="str">
        <f t="array" ref="W22">IFERROR(INDEX(DFD!$E$2:$E$1048791,MATCH($Q22,DFD!$B$2:$B$1048791,0)),"")</f>
        <v/>
      </c>
      <c r="X22" s="84" t="str">
        <f t="array" ref="X22">IFERROR(INDEX(DFD!$K$2:$K$1048791,MATCH($Q22,DFD!$B$2:$B$1048791,0)),"")</f>
        <v/>
      </c>
      <c r="Y22" s="84" t="str">
        <f t="array" ref="Y22">IFERROR(INDEX(DFD!$L$2:$L$1048790,MATCH($Q22,DFD!$B$2:$B$1048790,0)),"")</f>
        <v/>
      </c>
      <c r="Z22" s="84">
        <f t="shared" si="3"/>
        <v>45</v>
      </c>
      <c r="AA22" s="59"/>
      <c r="AB22" s="59" t="s">
        <v>78</v>
      </c>
      <c r="AC22" s="59"/>
      <c r="AD22" s="85">
        <v>46043.0</v>
      </c>
      <c r="AE22" s="86">
        <f t="shared" si="2"/>
        <v>1</v>
      </c>
    </row>
    <row r="23" ht="15.75" customHeight="1">
      <c r="A23" s="87" t="s">
        <v>115</v>
      </c>
      <c r="B23" s="87" t="s">
        <v>92</v>
      </c>
      <c r="C23" s="88" t="s">
        <v>116</v>
      </c>
      <c r="D23" s="88" t="s">
        <v>51</v>
      </c>
      <c r="E23" s="88">
        <v>4.0</v>
      </c>
      <c r="F23" s="89">
        <v>96.0</v>
      </c>
      <c r="G23" s="90" t="s">
        <v>53</v>
      </c>
      <c r="H23" s="91">
        <v>46143.0</v>
      </c>
      <c r="I23" s="92" t="s">
        <v>17</v>
      </c>
      <c r="J23" s="92" t="s">
        <v>54</v>
      </c>
      <c r="K23" s="92" t="s">
        <v>66</v>
      </c>
      <c r="L23" s="92" t="s">
        <v>67</v>
      </c>
      <c r="M23" s="90" t="s">
        <v>117</v>
      </c>
      <c r="N23" s="92" t="s">
        <v>5</v>
      </c>
      <c r="O23" s="92" t="s">
        <v>89</v>
      </c>
      <c r="P23" s="87"/>
      <c r="Q23" s="87" t="s">
        <v>118</v>
      </c>
      <c r="R23" s="93" t="s">
        <v>71</v>
      </c>
      <c r="S23" s="87"/>
      <c r="T23" s="87"/>
      <c r="U23" s="94" t="str">
        <f t="array" ref="U23">IFERROR(INDEX(DFD!$D$2:$D$1048791,MATCH($Q23,DFD!$B$2:$B$1048791,0)),"")</f>
        <v/>
      </c>
      <c r="V23" s="94" t="str">
        <f t="array" ref="V23">IFERROR(INDEX(DFD!$F$2:$F$1048791,MATCH($Q23,DFD!$B$2:$B$1048791,0)),"")</f>
        <v/>
      </c>
      <c r="W23" s="97" t="str">
        <f t="array" ref="W23">IFERROR(INDEX(DFD!$E$2:$E$1048791,MATCH($Q23,DFD!$B$2:$B$1048791,0)),"")</f>
        <v/>
      </c>
      <c r="X23" s="97" t="str">
        <f t="array" ref="X23">IFERROR(INDEX(DFD!$K$2:$K$1048791,MATCH($Q23,DFD!$B$2:$B$1048791,0)),"")</f>
        <v/>
      </c>
      <c r="Y23" s="97" t="str">
        <f t="array" ref="Y23">IFERROR(INDEX(DFD!$L$2:$L$1048790,MATCH($Q23,DFD!$B$2:$B$1048790,0)),"")</f>
        <v/>
      </c>
      <c r="Z23" s="97">
        <f t="shared" si="3"/>
        <v>45</v>
      </c>
      <c r="AA23" s="87"/>
      <c r="AB23" s="87" t="s">
        <v>78</v>
      </c>
      <c r="AC23" s="87"/>
      <c r="AD23" s="99">
        <v>46043.0</v>
      </c>
      <c r="AE23" s="100">
        <f t="shared" si="2"/>
        <v>1</v>
      </c>
    </row>
    <row r="24" ht="15.75" customHeight="1">
      <c r="A24" s="59" t="s">
        <v>119</v>
      </c>
      <c r="B24" s="59" t="s">
        <v>80</v>
      </c>
      <c r="C24" s="60" t="s">
        <v>116</v>
      </c>
      <c r="D24" s="60" t="s">
        <v>51</v>
      </c>
      <c r="E24" s="60">
        <v>3.0</v>
      </c>
      <c r="F24" s="72">
        <v>72.0</v>
      </c>
      <c r="G24" s="73" t="s">
        <v>53</v>
      </c>
      <c r="H24" s="74">
        <v>46143.0</v>
      </c>
      <c r="I24" s="67" t="s">
        <v>17</v>
      </c>
      <c r="J24" s="67" t="s">
        <v>54</v>
      </c>
      <c r="K24" s="67" t="s">
        <v>66</v>
      </c>
      <c r="L24" s="67" t="s">
        <v>67</v>
      </c>
      <c r="M24" s="73" t="s">
        <v>117</v>
      </c>
      <c r="N24" s="67" t="s">
        <v>5</v>
      </c>
      <c r="O24" s="59" t="s">
        <v>69</v>
      </c>
      <c r="P24" s="59"/>
      <c r="Q24" s="59" t="s">
        <v>118</v>
      </c>
      <c r="R24" s="76" t="s">
        <v>71</v>
      </c>
      <c r="S24" s="59"/>
      <c r="T24" s="59"/>
      <c r="U24" s="77" t="str">
        <f t="array" ref="U24">IFERROR(INDEX(DFD!$D$2:$D$1048791,MATCH($Q24,DFD!$B$2:$B$1048791,0)),"")</f>
        <v/>
      </c>
      <c r="V24" s="77" t="str">
        <f t="array" ref="V24">IFERROR(INDEX(DFD!$F$2:$F$1048791,MATCH($Q24,DFD!$B$2:$B$1048791,0)),"")</f>
        <v/>
      </c>
      <c r="W24" s="84" t="str">
        <f t="array" ref="W24">IFERROR(INDEX(DFD!$E$2:$E$1048791,MATCH($Q24,DFD!$B$2:$B$1048791,0)),"")</f>
        <v/>
      </c>
      <c r="X24" s="84" t="str">
        <f t="array" ref="X24">IFERROR(INDEX(DFD!$K$2:$K$1048791,MATCH($Q24,DFD!$B$2:$B$1048791,0)),"")</f>
        <v/>
      </c>
      <c r="Y24" s="84" t="str">
        <f t="array" ref="Y24">IFERROR(INDEX(DFD!$L$2:$L$1048790,MATCH($Q24,DFD!$B$2:$B$1048790,0)),"")</f>
        <v/>
      </c>
      <c r="Z24" s="84">
        <f t="shared" si="3"/>
        <v>45</v>
      </c>
      <c r="AA24" s="59"/>
      <c r="AB24" s="59" t="s">
        <v>78</v>
      </c>
      <c r="AC24" s="59"/>
      <c r="AD24" s="85">
        <v>46043.0</v>
      </c>
      <c r="AE24" s="86">
        <f t="shared" si="2"/>
        <v>1</v>
      </c>
    </row>
    <row r="25" ht="15.75" customHeight="1">
      <c r="A25" s="87" t="s">
        <v>121</v>
      </c>
      <c r="B25" s="87" t="s">
        <v>98</v>
      </c>
      <c r="C25" s="88" t="s">
        <v>122</v>
      </c>
      <c r="D25" s="88" t="s">
        <v>51</v>
      </c>
      <c r="E25" s="88">
        <v>1.0</v>
      </c>
      <c r="F25" s="89">
        <v>4200.0</v>
      </c>
      <c r="G25" s="90" t="s">
        <v>53</v>
      </c>
      <c r="H25" s="91">
        <v>46204.0</v>
      </c>
      <c r="I25" s="92" t="s">
        <v>17</v>
      </c>
      <c r="J25" s="92" t="s">
        <v>54</v>
      </c>
      <c r="K25" s="92" t="s">
        <v>66</v>
      </c>
      <c r="L25" s="92" t="s">
        <v>67</v>
      </c>
      <c r="M25" s="90" t="s">
        <v>68</v>
      </c>
      <c r="N25" s="92" t="s">
        <v>58</v>
      </c>
      <c r="O25" s="87" t="s">
        <v>69</v>
      </c>
      <c r="P25" s="87"/>
      <c r="Q25" s="87" t="s">
        <v>124</v>
      </c>
      <c r="R25" s="93" t="s">
        <v>71</v>
      </c>
      <c r="S25" s="87"/>
      <c r="T25" s="87"/>
      <c r="U25" s="94" t="str">
        <f t="array" ref="U25">IFERROR(INDEX(DFD!$D$2:$D$1048791,MATCH($Q25,DFD!$B$2:$B$1048791,0)),"")</f>
        <v/>
      </c>
      <c r="V25" s="94" t="str">
        <f t="array" ref="V25">IFERROR(INDEX(DFD!$F$2:$F$1048791,MATCH($Q25,DFD!$B$2:$B$1048791,0)),"")</f>
        <v/>
      </c>
      <c r="W25" s="97" t="str">
        <f t="array" ref="W25">IFERROR(INDEX(DFD!$E$2:$E$1048791,MATCH($Q25,DFD!$B$2:$B$1048791,0)),"")</f>
        <v/>
      </c>
      <c r="X25" s="97" t="str">
        <f t="array" ref="X25">IFERROR(INDEX(DFD!$K$2:$K$1048791,MATCH($Q25,DFD!$B$2:$B$1048791,0)),"")</f>
        <v/>
      </c>
      <c r="Y25" s="97" t="str">
        <f t="array" ref="Y25">IFERROR(INDEX(DFD!$L$2:$L$1048790,MATCH($Q25,DFD!$B$2:$B$1048790,0)),"")</f>
        <v/>
      </c>
      <c r="Z25" s="97">
        <f t="shared" si="3"/>
        <v>45</v>
      </c>
      <c r="AA25" s="87"/>
      <c r="AB25" s="87" t="s">
        <v>78</v>
      </c>
      <c r="AC25" s="87"/>
      <c r="AD25" s="99">
        <v>46043.0</v>
      </c>
      <c r="AE25" s="100">
        <f t="shared" si="2"/>
        <v>1</v>
      </c>
    </row>
    <row r="26" ht="15.75" customHeight="1">
      <c r="A26" s="59" t="s">
        <v>126</v>
      </c>
      <c r="B26" s="59" t="s">
        <v>91</v>
      </c>
      <c r="C26" s="60" t="s">
        <v>127</v>
      </c>
      <c r="D26" s="60" t="s">
        <v>51</v>
      </c>
      <c r="E26" s="60">
        <v>1.0</v>
      </c>
      <c r="F26" s="72">
        <v>5000.0</v>
      </c>
      <c r="G26" s="73" t="s">
        <v>53</v>
      </c>
      <c r="H26" s="74">
        <v>46204.0</v>
      </c>
      <c r="I26" s="67" t="s">
        <v>17</v>
      </c>
      <c r="J26" s="67" t="s">
        <v>54</v>
      </c>
      <c r="K26" s="67" t="s">
        <v>66</v>
      </c>
      <c r="L26" s="67" t="s">
        <v>67</v>
      </c>
      <c r="M26" s="73" t="s">
        <v>57</v>
      </c>
      <c r="N26" s="67" t="s">
        <v>5</v>
      </c>
      <c r="O26" s="67" t="s">
        <v>89</v>
      </c>
      <c r="P26" s="59"/>
      <c r="Q26" s="59" t="s">
        <v>128</v>
      </c>
      <c r="R26" s="76" t="s">
        <v>71</v>
      </c>
      <c r="S26" s="59"/>
      <c r="T26" s="59"/>
      <c r="U26" s="77" t="str">
        <f t="array" ref="U26">IFERROR(INDEX(DFD!$D$2:$D$1048791,MATCH($Q26,DFD!$B$2:$B$1048791,0)),"")</f>
        <v/>
      </c>
      <c r="V26" s="77" t="str">
        <f t="array" ref="V26">IFERROR(INDEX(DFD!$F$2:$F$1048791,MATCH($Q26,DFD!$B$2:$B$1048791,0)),"")</f>
        <v/>
      </c>
      <c r="W26" s="84" t="str">
        <f t="array" ref="W26">IFERROR(INDEX(DFD!$E$2:$E$1048791,MATCH($Q26,DFD!$B$2:$B$1048791,0)),"")</f>
        <v/>
      </c>
      <c r="X26" s="84" t="str">
        <f t="array" ref="X26">IFERROR(INDEX(DFD!$K$2:$K$1048791,MATCH($Q26,DFD!$B$2:$B$1048791,0)),"")</f>
        <v/>
      </c>
      <c r="Y26" s="84" t="str">
        <f t="array" ref="Y26">IFERROR(INDEX(DFD!$L$2:$L$1048790,MATCH($Q26,DFD!$B$2:$B$1048790,0)),"")</f>
        <v/>
      </c>
      <c r="Z26" s="84">
        <f t="shared" si="3"/>
        <v>45</v>
      </c>
      <c r="AA26" s="59"/>
      <c r="AB26" s="59" t="s">
        <v>78</v>
      </c>
      <c r="AC26" s="59"/>
      <c r="AD26" s="85">
        <v>46043.0</v>
      </c>
      <c r="AE26" s="86">
        <f t="shared" si="2"/>
        <v>1</v>
      </c>
    </row>
    <row r="27" ht="15.75" customHeight="1">
      <c r="A27" s="87" t="s">
        <v>130</v>
      </c>
      <c r="B27" s="87" t="s">
        <v>49</v>
      </c>
      <c r="C27" s="88" t="s">
        <v>131</v>
      </c>
      <c r="D27" s="88" t="s">
        <v>51</v>
      </c>
      <c r="E27" s="88">
        <v>1.0</v>
      </c>
      <c r="F27" s="89">
        <v>25000.0</v>
      </c>
      <c r="G27" s="90" t="s">
        <v>53</v>
      </c>
      <c r="H27" s="91">
        <v>46235.0</v>
      </c>
      <c r="I27" s="92" t="s">
        <v>17</v>
      </c>
      <c r="J27" s="92" t="s">
        <v>54</v>
      </c>
      <c r="K27" s="92" t="s">
        <v>66</v>
      </c>
      <c r="L27" s="92" t="s">
        <v>56</v>
      </c>
      <c r="M27" s="90" t="s">
        <v>132</v>
      </c>
      <c r="N27" s="92" t="s">
        <v>58</v>
      </c>
      <c r="O27" s="87" t="s">
        <v>69</v>
      </c>
      <c r="P27" s="87"/>
      <c r="Q27" s="87" t="s">
        <v>133</v>
      </c>
      <c r="R27" s="93" t="s">
        <v>134</v>
      </c>
      <c r="S27" s="87"/>
      <c r="T27" s="87"/>
      <c r="U27" s="94" t="str">
        <f t="array" ref="U27">IFERROR(INDEX(DFD!$D$2:$D$1048791,MATCH($Q27,DFD!$B$2:$B$1048791,0)),"")</f>
        <v/>
      </c>
      <c r="V27" s="94" t="s">
        <v>62</v>
      </c>
      <c r="W27" s="97" t="str">
        <f t="array" ref="W27">IFERROR(INDEX(DFD!$E$2:$E$1048791,MATCH($Q27,DFD!$B$2:$B$1048791,0)),"")</f>
        <v/>
      </c>
      <c r="X27" s="97" t="str">
        <f t="array" ref="X27">IFERROR(INDEX(DFD!$K$2:$K$1048791,MATCH($Q27,DFD!$B$2:$B$1048791,0)),"")</f>
        <v/>
      </c>
      <c r="Y27" s="97" t="str">
        <f t="array" ref="Y27">IFERROR(INDEX(DFD!$L$2:$L$1048790,MATCH($Q27,DFD!$B$2:$B$1048790,0)),"")</f>
        <v/>
      </c>
      <c r="Z27" s="97">
        <f t="shared" si="3"/>
        <v>45</v>
      </c>
      <c r="AA27" s="87"/>
      <c r="AB27" s="87" t="s">
        <v>78</v>
      </c>
      <c r="AC27" s="87"/>
      <c r="AD27" s="99">
        <v>46043.0</v>
      </c>
      <c r="AE27" s="100">
        <f t="shared" si="2"/>
        <v>1</v>
      </c>
    </row>
    <row r="28" ht="15.75" customHeight="1">
      <c r="A28" s="59" t="s">
        <v>135</v>
      </c>
      <c r="B28" s="59" t="s">
        <v>136</v>
      </c>
      <c r="C28" s="60" t="s">
        <v>137</v>
      </c>
      <c r="D28" s="60" t="s">
        <v>138</v>
      </c>
      <c r="E28" s="60">
        <v>12.0</v>
      </c>
      <c r="F28" s="72">
        <v>600.0</v>
      </c>
      <c r="G28" s="73" t="s">
        <v>53</v>
      </c>
      <c r="H28" s="74">
        <v>46174.0</v>
      </c>
      <c r="I28" s="67" t="s">
        <v>17</v>
      </c>
      <c r="J28" s="67" t="s">
        <v>54</v>
      </c>
      <c r="K28" s="67" t="s">
        <v>66</v>
      </c>
      <c r="L28" s="67" t="s">
        <v>67</v>
      </c>
      <c r="M28" s="73" t="s">
        <v>68</v>
      </c>
      <c r="N28" s="67" t="s">
        <v>5</v>
      </c>
      <c r="O28" s="59" t="s">
        <v>69</v>
      </c>
      <c r="P28" s="59"/>
      <c r="Q28" s="59" t="s">
        <v>139</v>
      </c>
      <c r="R28" s="76" t="s">
        <v>140</v>
      </c>
      <c r="S28" s="120"/>
      <c r="T28" s="59"/>
      <c r="U28" s="77" t="str">
        <f t="array" ref="U28">IFERROR(INDEX(DFD!$D$2:$D$1048791,MATCH($Q28,DFD!$B$2:$B$1048791,0)),"")</f>
        <v/>
      </c>
      <c r="V28" s="77" t="str">
        <f t="array" ref="V28">IFERROR(INDEX(DFD!$F$2:$F$1048791,MATCH($Q28,DFD!$B$2:$B$1048791,0)),"")</f>
        <v/>
      </c>
      <c r="W28" s="84" t="str">
        <f t="array" ref="W28">IFERROR(INDEX(DFD!$E$2:$E$1048791,MATCH($Q28,DFD!$B$2:$B$1048791,0)),"")</f>
        <v/>
      </c>
      <c r="X28" s="84" t="str">
        <f t="array" ref="X28">IFERROR(INDEX(DFD!$K$2:$K$1048791,MATCH($Q28,DFD!$B$2:$B$1048791,0)),"")</f>
        <v/>
      </c>
      <c r="Y28" s="84" t="str">
        <f t="array" ref="Y28">IFERROR(INDEX(DFD!$L$2:$L$1048790,MATCH($Q28,DFD!$B$2:$B$1048790,0)),"")</f>
        <v/>
      </c>
      <c r="Z28" s="84">
        <f t="shared" si="3"/>
        <v>45</v>
      </c>
      <c r="AA28" s="59"/>
      <c r="AB28" s="59" t="s">
        <v>78</v>
      </c>
      <c r="AC28" s="59"/>
      <c r="AD28" s="85">
        <v>46043.0</v>
      </c>
      <c r="AE28" s="86">
        <f t="shared" si="2"/>
        <v>1</v>
      </c>
    </row>
    <row r="29" ht="15.75" customHeight="1">
      <c r="A29" s="87" t="s">
        <v>141</v>
      </c>
      <c r="B29" s="87" t="s">
        <v>101</v>
      </c>
      <c r="C29" s="88" t="s">
        <v>142</v>
      </c>
      <c r="D29" s="88" t="s">
        <v>51</v>
      </c>
      <c r="E29" s="88">
        <v>4.0</v>
      </c>
      <c r="F29" s="89">
        <v>800.0</v>
      </c>
      <c r="G29" s="90" t="s">
        <v>53</v>
      </c>
      <c r="H29" s="91">
        <v>46174.0</v>
      </c>
      <c r="I29" s="92" t="s">
        <v>17</v>
      </c>
      <c r="J29" s="92" t="s">
        <v>54</v>
      </c>
      <c r="K29" s="92" t="s">
        <v>66</v>
      </c>
      <c r="L29" s="92" t="s">
        <v>56</v>
      </c>
      <c r="M29" s="90" t="s">
        <v>68</v>
      </c>
      <c r="N29" s="92" t="s">
        <v>58</v>
      </c>
      <c r="O29" s="92" t="s">
        <v>89</v>
      </c>
      <c r="P29" s="87"/>
      <c r="Q29" s="121" t="s">
        <v>143</v>
      </c>
      <c r="R29" s="93" t="s">
        <v>71</v>
      </c>
      <c r="S29" s="87"/>
      <c r="T29" s="87"/>
      <c r="U29" s="122" t="str">
        <f t="array" ref="U29">IFERROR(INDEX(DFD!$D$2:$D$1048791,MATCH($Q29,DFD!$B$2:$B$1048791,0)),"")</f>
        <v/>
      </c>
      <c r="V29" s="94" t="str">
        <f t="array" ref="V29">IFERROR(INDEX(DFD!$F$2:$F$1048791,MATCH($Q29,DFD!$B$2:$B$1048791,0)),"")</f>
        <v/>
      </c>
      <c r="W29" s="97" t="str">
        <f t="array" ref="W29">IFERROR(INDEX(DFD!$E$2:$E$1048791,MATCH($Q29,DFD!$B$2:$B$1048791,0)),"")</f>
        <v/>
      </c>
      <c r="X29" s="97" t="str">
        <f t="array" ref="X29">IFERROR(INDEX(DFD!$K$2:$K$1048791,MATCH($Q29,DFD!$B$2:$B$1048791,0)),"")</f>
        <v/>
      </c>
      <c r="Y29" s="97" t="str">
        <f t="array" ref="Y29">IFERROR(INDEX(DFD!$L$2:$L$1048790,MATCH($Q29,DFD!$B$2:$B$1048790,0)),"")</f>
        <v/>
      </c>
      <c r="Z29" s="97">
        <f t="shared" si="3"/>
        <v>45</v>
      </c>
      <c r="AA29" s="87"/>
      <c r="AB29" s="87" t="s">
        <v>78</v>
      </c>
      <c r="AC29" s="87"/>
      <c r="AD29" s="99">
        <v>46043.0</v>
      </c>
      <c r="AE29" s="100">
        <f t="shared" si="2"/>
        <v>1</v>
      </c>
    </row>
    <row r="30" ht="15.75" customHeight="1">
      <c r="A30" s="59" t="s">
        <v>144</v>
      </c>
      <c r="B30" s="59" t="s">
        <v>101</v>
      </c>
      <c r="C30" s="60" t="s">
        <v>145</v>
      </c>
      <c r="D30" s="60" t="s">
        <v>51</v>
      </c>
      <c r="E30" s="60">
        <v>4.0</v>
      </c>
      <c r="F30" s="72">
        <v>263.04</v>
      </c>
      <c r="G30" s="73" t="s">
        <v>53</v>
      </c>
      <c r="H30" s="74">
        <v>46143.0</v>
      </c>
      <c r="I30" s="67" t="s">
        <v>17</v>
      </c>
      <c r="J30" s="67" t="s">
        <v>54</v>
      </c>
      <c r="K30" s="67" t="s">
        <v>66</v>
      </c>
      <c r="L30" s="67" t="s">
        <v>56</v>
      </c>
      <c r="M30" s="73" t="s">
        <v>132</v>
      </c>
      <c r="N30" s="67" t="s">
        <v>58</v>
      </c>
      <c r="O30" s="59" t="s">
        <v>69</v>
      </c>
      <c r="P30" s="59"/>
      <c r="Q30" s="59" t="s">
        <v>143</v>
      </c>
      <c r="R30" s="76" t="s">
        <v>71</v>
      </c>
      <c r="S30" s="59"/>
      <c r="T30" s="59"/>
      <c r="U30" s="77" t="str">
        <f t="array" ref="U30">IFERROR(INDEX(DFD!$D$2:$D$1048791,MATCH($Q30,DFD!$B$2:$B$1048791,0)),"")</f>
        <v/>
      </c>
      <c r="V30" s="77" t="str">
        <f t="array" ref="V30">IFERROR(INDEX(DFD!$F$2:$F$1048791,MATCH($Q30,DFD!$B$2:$B$1048791,0)),"")</f>
        <v/>
      </c>
      <c r="W30" s="84" t="str">
        <f t="array" ref="W30">IFERROR(INDEX(DFD!$E$2:$E$1048791,MATCH($Q30,DFD!$B$2:$B$1048791,0)),"")</f>
        <v/>
      </c>
      <c r="X30" s="84" t="str">
        <f t="array" ref="X30">IFERROR(INDEX(DFD!$K$2:$K$1048791,MATCH($Q30,DFD!$B$2:$B$1048791,0)),"")</f>
        <v/>
      </c>
      <c r="Y30" s="84" t="str">
        <f t="array" ref="Y30">IFERROR(INDEX(DFD!$L$2:$L$1048790,MATCH($Q30,DFD!$B$2:$B$1048790,0)),"")</f>
        <v/>
      </c>
      <c r="Z30" s="84">
        <f t="shared" si="3"/>
        <v>45</v>
      </c>
      <c r="AA30" s="59"/>
      <c r="AB30" s="59" t="s">
        <v>78</v>
      </c>
      <c r="AC30" s="59"/>
      <c r="AD30" s="85">
        <v>46043.0</v>
      </c>
      <c r="AE30" s="86">
        <f t="shared" si="2"/>
        <v>1</v>
      </c>
    </row>
    <row r="31" ht="15.75" customHeight="1">
      <c r="A31" s="87" t="s">
        <v>146</v>
      </c>
      <c r="B31" s="87" t="s">
        <v>92</v>
      </c>
      <c r="C31" s="88" t="s">
        <v>147</v>
      </c>
      <c r="D31" s="88" t="s">
        <v>51</v>
      </c>
      <c r="E31" s="88">
        <v>3.0</v>
      </c>
      <c r="F31" s="89">
        <v>150.0</v>
      </c>
      <c r="G31" s="90" t="s">
        <v>53</v>
      </c>
      <c r="H31" s="91">
        <v>46143.0</v>
      </c>
      <c r="I31" s="92" t="s">
        <v>17</v>
      </c>
      <c r="J31" s="92" t="s">
        <v>54</v>
      </c>
      <c r="K31" s="92" t="s">
        <v>66</v>
      </c>
      <c r="L31" s="92" t="s">
        <v>67</v>
      </c>
      <c r="M31" s="90" t="s">
        <v>104</v>
      </c>
      <c r="N31" s="92" t="s">
        <v>5</v>
      </c>
      <c r="O31" s="87" t="s">
        <v>69</v>
      </c>
      <c r="P31" s="87"/>
      <c r="Q31" s="87" t="s">
        <v>143</v>
      </c>
      <c r="R31" s="93" t="s">
        <v>71</v>
      </c>
      <c r="S31" s="87"/>
      <c r="T31" s="87"/>
      <c r="U31" s="94" t="str">
        <f t="array" ref="U31">IFERROR(INDEX(DFD!$D$2:$D$1048791,MATCH($Q31,DFD!$B$2:$B$1048791,0)),"")</f>
        <v/>
      </c>
      <c r="V31" s="94" t="str">
        <f t="array" ref="V31">IFERROR(INDEX(DFD!$F$2:$F$1048791,MATCH($Q31,DFD!$B$2:$B$1048791,0)),"")</f>
        <v/>
      </c>
      <c r="W31" s="97" t="str">
        <f t="array" ref="W31">IFERROR(INDEX(DFD!$E$2:$E$1048791,MATCH($Q31,DFD!$B$2:$B$1048791,0)),"")</f>
        <v/>
      </c>
      <c r="X31" s="97" t="str">
        <f t="array" ref="X31">IFERROR(INDEX(DFD!$K$2:$K$1048791,MATCH($Q31,DFD!$B$2:$B$1048791,0)),"")</f>
        <v/>
      </c>
      <c r="Y31" s="97" t="str">
        <f t="array" ref="Y31">IFERROR(INDEX(DFD!$L$2:$L$1048790,MATCH($Q31,DFD!$B$2:$B$1048790,0)),"")</f>
        <v/>
      </c>
      <c r="Z31" s="97">
        <f t="shared" si="3"/>
        <v>45</v>
      </c>
      <c r="AA31" s="87"/>
      <c r="AB31" s="87" t="s">
        <v>78</v>
      </c>
      <c r="AC31" s="87"/>
      <c r="AD31" s="99">
        <v>46043.0</v>
      </c>
      <c r="AE31" s="100">
        <f t="shared" si="2"/>
        <v>1</v>
      </c>
    </row>
    <row r="32" ht="15.75" customHeight="1">
      <c r="A32" s="59" t="s">
        <v>151</v>
      </c>
      <c r="B32" s="59" t="s">
        <v>101</v>
      </c>
      <c r="C32" s="60" t="s">
        <v>152</v>
      </c>
      <c r="D32" s="60" t="s">
        <v>51</v>
      </c>
      <c r="E32" s="60">
        <v>1.0</v>
      </c>
      <c r="F32" s="72">
        <v>12000.0</v>
      </c>
      <c r="G32" s="73" t="s">
        <v>53</v>
      </c>
      <c r="H32" s="74">
        <v>46235.0</v>
      </c>
      <c r="I32" s="67" t="s">
        <v>17</v>
      </c>
      <c r="J32" s="67" t="s">
        <v>54</v>
      </c>
      <c r="K32" s="67" t="s">
        <v>66</v>
      </c>
      <c r="L32" s="67" t="s">
        <v>56</v>
      </c>
      <c r="M32" s="73" t="s">
        <v>104</v>
      </c>
      <c r="N32" s="67" t="s">
        <v>58</v>
      </c>
      <c r="O32" s="67" t="s">
        <v>89</v>
      </c>
      <c r="P32" s="59"/>
      <c r="Q32" s="59" t="s">
        <v>153</v>
      </c>
      <c r="R32" s="76" t="s">
        <v>154</v>
      </c>
      <c r="S32" s="59"/>
      <c r="T32" s="59"/>
      <c r="U32" s="77" t="str">
        <f t="array" ref="U32">IFERROR(INDEX(DFD!$D$2:$D$1048791,MATCH($Q32,DFD!$B$2:$B$1048791,0)),"")</f>
        <v/>
      </c>
      <c r="V32" s="77" t="str">
        <f t="array" ref="V32">IFERROR(INDEX(DFD!$F$2:$F$1048791,MATCH($Q32,DFD!$B$2:$B$1048791,0)),"")</f>
        <v/>
      </c>
      <c r="W32" s="84" t="str">
        <f t="array" ref="W32">IFERROR(INDEX(DFD!$E$2:$E$1048791,MATCH($Q32,DFD!$B$2:$B$1048791,0)),"")</f>
        <v/>
      </c>
      <c r="X32" s="84" t="str">
        <f t="array" ref="X32">IFERROR(INDEX(DFD!$K$2:$K$1048791,MATCH($Q32,DFD!$B$2:$B$1048791,0)),"")</f>
        <v/>
      </c>
      <c r="Y32" s="84" t="str">
        <f t="array" ref="Y32">IFERROR(INDEX(DFD!$L$2:$L$1048790,MATCH($Q32,DFD!$B$2:$B$1048790,0)),"")</f>
        <v/>
      </c>
      <c r="Z32" s="84">
        <f t="shared" si="3"/>
        <v>45</v>
      </c>
      <c r="AA32" s="59"/>
      <c r="AB32" s="59" t="s">
        <v>78</v>
      </c>
      <c r="AC32" s="59"/>
      <c r="AD32" s="85">
        <v>46043.0</v>
      </c>
      <c r="AE32" s="86">
        <f t="shared" si="2"/>
        <v>1</v>
      </c>
    </row>
    <row r="33" ht="15.75" customHeight="1">
      <c r="A33" s="87" t="s">
        <v>159</v>
      </c>
      <c r="B33" s="87" t="s">
        <v>52</v>
      </c>
      <c r="C33" s="88" t="s">
        <v>160</v>
      </c>
      <c r="D33" s="88" t="s">
        <v>51</v>
      </c>
      <c r="E33" s="88">
        <v>1.0</v>
      </c>
      <c r="F33" s="89">
        <v>25377.0</v>
      </c>
      <c r="G33" s="90" t="s">
        <v>53</v>
      </c>
      <c r="H33" s="91">
        <v>46174.0</v>
      </c>
      <c r="I33" s="92" t="s">
        <v>17</v>
      </c>
      <c r="J33" s="92" t="s">
        <v>54</v>
      </c>
      <c r="K33" s="92" t="s">
        <v>161</v>
      </c>
      <c r="L33" s="92" t="s">
        <v>67</v>
      </c>
      <c r="M33" s="90" t="s">
        <v>132</v>
      </c>
      <c r="N33" s="92" t="s">
        <v>58</v>
      </c>
      <c r="O33" s="87" t="s">
        <v>69</v>
      </c>
      <c r="P33" s="87"/>
      <c r="Q33" s="87" t="s">
        <v>52</v>
      </c>
      <c r="R33" s="93" t="s">
        <v>164</v>
      </c>
      <c r="S33" s="87"/>
      <c r="T33" s="87"/>
      <c r="U33" s="94"/>
      <c r="V33" s="94"/>
      <c r="W33" s="97"/>
      <c r="X33" s="97"/>
      <c r="Y33" s="97"/>
      <c r="Z33" s="97"/>
      <c r="AA33" s="87"/>
      <c r="AB33" s="87" t="s">
        <v>72</v>
      </c>
      <c r="AC33" s="87"/>
      <c r="AD33" s="99">
        <v>46043.0</v>
      </c>
      <c r="AE33" s="100">
        <f t="shared" si="2"/>
        <v>1</v>
      </c>
    </row>
    <row r="34" ht="15.75" customHeight="1">
      <c r="A34" s="59" t="s">
        <v>165</v>
      </c>
      <c r="B34" s="59" t="s">
        <v>52</v>
      </c>
      <c r="C34" s="60" t="s">
        <v>166</v>
      </c>
      <c r="D34" s="60" t="s">
        <v>51</v>
      </c>
      <c r="E34" s="60">
        <v>1.0</v>
      </c>
      <c r="F34" s="72">
        <v>3000.0</v>
      </c>
      <c r="G34" s="73" t="s">
        <v>53</v>
      </c>
      <c r="H34" s="74">
        <v>46174.0</v>
      </c>
      <c r="I34" s="67" t="s">
        <v>17</v>
      </c>
      <c r="J34" s="67" t="s">
        <v>54</v>
      </c>
      <c r="K34" s="67" t="s">
        <v>55</v>
      </c>
      <c r="L34" s="67" t="s">
        <v>56</v>
      </c>
      <c r="M34" s="73" t="s">
        <v>167</v>
      </c>
      <c r="N34" s="67" t="s">
        <v>58</v>
      </c>
      <c r="O34" s="59" t="s">
        <v>69</v>
      </c>
      <c r="P34" s="59"/>
      <c r="Q34" s="59" t="s">
        <v>52</v>
      </c>
      <c r="R34" s="76" t="s">
        <v>164</v>
      </c>
      <c r="S34" s="59"/>
      <c r="T34" s="59"/>
      <c r="U34" s="77" t="str">
        <f t="array" ref="U34">IFERROR(INDEX(DFD!$D$2:$D$1048791,MATCH($Q34,DFD!$B$2:$B$1048791,0)),"")</f>
        <v/>
      </c>
      <c r="V34" s="77" t="str">
        <f t="array" ref="V34">IFERROR(INDEX(DFD!$F$2:$F$1048791,MATCH($Q34,DFD!$B$2:$B$1048791,0)),"")</f>
        <v/>
      </c>
      <c r="W34" s="84" t="str">
        <f t="array" ref="W34">IFERROR(INDEX(DFD!$E$2:$E$1048791,MATCH($Q34,DFD!$B$2:$B$1048791,0)),"")</f>
        <v/>
      </c>
      <c r="X34" s="84" t="str">
        <f t="array" ref="X34">IFERROR(INDEX(DFD!$K$2:$K$1048791,MATCH($Q34,DFD!$B$2:$B$1048791,0)),"")</f>
        <v/>
      </c>
      <c r="Y34" s="84" t="str">
        <f t="array" ref="Y34">IFERROR(INDEX(DFD!$L$2:$L$1048790,MATCH($Q34,DFD!$B$2:$B$1048790,0)),"")</f>
        <v/>
      </c>
      <c r="Z34" s="84">
        <f t="shared" ref="Z34:Z74" si="4">Y34+45</f>
        <v>45</v>
      </c>
      <c r="AA34" s="59"/>
      <c r="AB34" s="59" t="s">
        <v>72</v>
      </c>
      <c r="AC34" s="59"/>
      <c r="AD34" s="85">
        <v>46043.0</v>
      </c>
      <c r="AE34" s="86">
        <f t="shared" si="2"/>
        <v>1</v>
      </c>
    </row>
    <row r="35" ht="15.75" customHeight="1">
      <c r="A35" s="87" t="s">
        <v>168</v>
      </c>
      <c r="B35" s="87" t="s">
        <v>136</v>
      </c>
      <c r="C35" s="88" t="s">
        <v>169</v>
      </c>
      <c r="D35" s="88" t="s">
        <v>170</v>
      </c>
      <c r="E35" s="88">
        <v>12.0</v>
      </c>
      <c r="F35" s="89">
        <v>360.0</v>
      </c>
      <c r="G35" s="90" t="s">
        <v>53</v>
      </c>
      <c r="H35" s="91">
        <v>46174.0</v>
      </c>
      <c r="I35" s="92" t="s">
        <v>17</v>
      </c>
      <c r="J35" s="92" t="s">
        <v>54</v>
      </c>
      <c r="K35" s="92" t="s">
        <v>66</v>
      </c>
      <c r="L35" s="92" t="s">
        <v>67</v>
      </c>
      <c r="M35" s="90" t="s">
        <v>68</v>
      </c>
      <c r="N35" s="92" t="s">
        <v>5</v>
      </c>
      <c r="O35" s="92" t="s">
        <v>89</v>
      </c>
      <c r="P35" s="87"/>
      <c r="Q35" s="87" t="s">
        <v>139</v>
      </c>
      <c r="R35" s="93" t="s">
        <v>140</v>
      </c>
      <c r="S35" s="129"/>
      <c r="T35" s="87"/>
      <c r="U35" s="94" t="str">
        <f t="array" ref="U35">IFERROR(INDEX(DFD!$D$2:$D$1048791,MATCH($Q35,DFD!$B$2:$B$1048791,0)),"")</f>
        <v/>
      </c>
      <c r="V35" s="94" t="str">
        <f t="array" ref="V35">IFERROR(INDEX(DFD!$F$2:$F$1048791,MATCH($Q35,DFD!$B$2:$B$1048791,0)),"")</f>
        <v/>
      </c>
      <c r="W35" s="97" t="str">
        <f t="array" ref="W35">IFERROR(INDEX(DFD!$E$2:$E$1048791,MATCH($Q35,DFD!$B$2:$B$1048791,0)),"")</f>
        <v/>
      </c>
      <c r="X35" s="97" t="str">
        <f t="array" ref="X35">IFERROR(INDEX(DFD!$K$2:$K$1048791,MATCH($Q35,DFD!$B$2:$B$1048791,0)),"")</f>
        <v/>
      </c>
      <c r="Y35" s="97" t="str">
        <f t="array" ref="Y35">IFERROR(INDEX(DFD!$L$2:$L$1048790,MATCH($Q35,DFD!$B$2:$B$1048790,0)),"")</f>
        <v/>
      </c>
      <c r="Z35" s="97">
        <f t="shared" si="4"/>
        <v>45</v>
      </c>
      <c r="AA35" s="87"/>
      <c r="AB35" s="87" t="s">
        <v>78</v>
      </c>
      <c r="AC35" s="87"/>
      <c r="AD35" s="99">
        <v>46043.0</v>
      </c>
      <c r="AE35" s="100">
        <f t="shared" si="2"/>
        <v>1</v>
      </c>
    </row>
    <row r="36" ht="15.75" customHeight="1">
      <c r="A36" s="59" t="s">
        <v>173</v>
      </c>
      <c r="B36" s="59" t="s">
        <v>174</v>
      </c>
      <c r="C36" s="60" t="s">
        <v>175</v>
      </c>
      <c r="D36" s="60" t="s">
        <v>51</v>
      </c>
      <c r="E36" s="60">
        <v>1.0</v>
      </c>
      <c r="F36" s="72">
        <v>400.0</v>
      </c>
      <c r="G36" s="73" t="s">
        <v>53</v>
      </c>
      <c r="H36" s="74">
        <v>46174.0</v>
      </c>
      <c r="I36" s="67" t="s">
        <v>17</v>
      </c>
      <c r="J36" s="67" t="s">
        <v>54</v>
      </c>
      <c r="K36" s="67" t="s">
        <v>66</v>
      </c>
      <c r="L36" s="67" t="s">
        <v>67</v>
      </c>
      <c r="M36" s="73" t="s">
        <v>104</v>
      </c>
      <c r="N36" s="67" t="s">
        <v>5</v>
      </c>
      <c r="O36" s="59" t="s">
        <v>69</v>
      </c>
      <c r="P36" s="59"/>
      <c r="Q36" s="59" t="s">
        <v>176</v>
      </c>
      <c r="R36" s="76" t="s">
        <v>177</v>
      </c>
      <c r="S36" s="120"/>
      <c r="T36" s="59"/>
      <c r="U36" s="77" t="str">
        <f t="array" ref="U36">IFERROR(INDEX(DFD!$D$2:$D$1048791,MATCH($Q36,DFD!$B$2:$B$1048791,0)),"")</f>
        <v/>
      </c>
      <c r="V36" s="77" t="str">
        <f t="array" ref="V36">IFERROR(INDEX(DFD!$F$2:$F$1048791,MATCH($Q36,DFD!$B$2:$B$1048791,0)),"")</f>
        <v/>
      </c>
      <c r="W36" s="84" t="str">
        <f t="array" ref="W36">IFERROR(INDEX(DFD!$E$2:$E$1048791,MATCH($Q36,DFD!$B$2:$B$1048791,0)),"")</f>
        <v/>
      </c>
      <c r="X36" s="84" t="str">
        <f t="array" ref="X36">IFERROR(INDEX(DFD!$K$2:$K$1048791,MATCH($Q36,DFD!$B$2:$B$1048791,0)),"")</f>
        <v/>
      </c>
      <c r="Y36" s="84" t="str">
        <f t="array" ref="Y36">IFERROR(INDEX(DFD!$L$2:$L$1048790,MATCH($Q36,DFD!$B$2:$B$1048790,0)),"")</f>
        <v/>
      </c>
      <c r="Z36" s="84">
        <f t="shared" si="4"/>
        <v>45</v>
      </c>
      <c r="AA36" s="59"/>
      <c r="AB36" s="59" t="s">
        <v>78</v>
      </c>
      <c r="AC36" s="59"/>
      <c r="AD36" s="85">
        <v>46043.0</v>
      </c>
      <c r="AE36" s="86">
        <f t="shared" si="2"/>
        <v>1</v>
      </c>
    </row>
    <row r="37" ht="15.75" customHeight="1">
      <c r="A37" s="87" t="s">
        <v>178</v>
      </c>
      <c r="B37" s="87" t="s">
        <v>94</v>
      </c>
      <c r="C37" s="88" t="s">
        <v>179</v>
      </c>
      <c r="D37" s="88" t="s">
        <v>51</v>
      </c>
      <c r="E37" s="88">
        <v>1.0</v>
      </c>
      <c r="F37" s="89">
        <v>370.0</v>
      </c>
      <c r="G37" s="90" t="s">
        <v>53</v>
      </c>
      <c r="H37" s="91">
        <v>46174.0</v>
      </c>
      <c r="I37" s="92" t="s">
        <v>17</v>
      </c>
      <c r="J37" s="92" t="s">
        <v>54</v>
      </c>
      <c r="K37" s="92" t="s">
        <v>66</v>
      </c>
      <c r="L37" s="92" t="s">
        <v>67</v>
      </c>
      <c r="M37" s="90" t="s">
        <v>117</v>
      </c>
      <c r="N37" s="92" t="s">
        <v>5</v>
      </c>
      <c r="O37" s="87" t="s">
        <v>69</v>
      </c>
      <c r="P37" s="87"/>
      <c r="Q37" s="87" t="s">
        <v>180</v>
      </c>
      <c r="R37" s="93" t="s">
        <v>181</v>
      </c>
      <c r="S37" s="129"/>
      <c r="T37" s="87"/>
      <c r="U37" s="94" t="str">
        <f t="array" ref="U37">IFERROR(INDEX(DFD!$D$2:$D$1048791,MATCH($Q37,DFD!$B$2:$B$1048791,0)),"")</f>
        <v/>
      </c>
      <c r="V37" s="94" t="str">
        <f t="array" ref="V37">IFERROR(INDEX(DFD!$F$2:$F$1048791,MATCH($Q37,DFD!$B$2:$B$1048791,0)),"")</f>
        <v/>
      </c>
      <c r="W37" s="97" t="str">
        <f t="array" ref="W37">IFERROR(INDEX(DFD!$E$2:$E$1048791,MATCH($Q37,DFD!$B$2:$B$1048791,0)),"")</f>
        <v/>
      </c>
      <c r="X37" s="97" t="str">
        <f t="array" ref="X37">IFERROR(INDEX(DFD!$K$2:$K$1048791,MATCH($Q37,DFD!$B$2:$B$1048791,0)),"")</f>
        <v/>
      </c>
      <c r="Y37" s="97" t="str">
        <f t="array" ref="Y37">IFERROR(INDEX(DFD!$L$2:$L$1048790,MATCH($Q37,DFD!$B$2:$B$1048790,0)),"")</f>
        <v/>
      </c>
      <c r="Z37" s="97">
        <f t="shared" si="4"/>
        <v>45</v>
      </c>
      <c r="AA37" s="87"/>
      <c r="AB37" s="87" t="s">
        <v>78</v>
      </c>
      <c r="AC37" s="87"/>
      <c r="AD37" s="99">
        <v>46043.0</v>
      </c>
      <c r="AE37" s="100">
        <f t="shared" si="2"/>
        <v>1</v>
      </c>
    </row>
    <row r="38" ht="15.75" customHeight="1">
      <c r="A38" s="67" t="s">
        <v>183</v>
      </c>
      <c r="B38" s="59" t="s">
        <v>184</v>
      </c>
      <c r="C38" s="60" t="s">
        <v>185</v>
      </c>
      <c r="D38" s="60" t="s">
        <v>51</v>
      </c>
      <c r="E38" s="60">
        <v>1000.0</v>
      </c>
      <c r="F38" s="72">
        <v>12990.0</v>
      </c>
      <c r="G38" s="73" t="s">
        <v>53</v>
      </c>
      <c r="H38" s="74">
        <v>46235.0</v>
      </c>
      <c r="I38" s="67" t="s">
        <v>17</v>
      </c>
      <c r="J38" s="67" t="s">
        <v>54</v>
      </c>
      <c r="K38" s="67" t="s">
        <v>66</v>
      </c>
      <c r="L38" s="67" t="s">
        <v>67</v>
      </c>
      <c r="M38" s="73" t="s">
        <v>68</v>
      </c>
      <c r="N38" s="67" t="s">
        <v>20</v>
      </c>
      <c r="O38" s="67" t="s">
        <v>89</v>
      </c>
      <c r="P38" s="59"/>
      <c r="Q38" s="59" t="s">
        <v>186</v>
      </c>
      <c r="R38" s="76" t="s">
        <v>187</v>
      </c>
      <c r="S38" s="59"/>
      <c r="T38" s="59"/>
      <c r="U38" s="77" t="str">
        <f t="array" ref="U38">IFERROR(INDEX(DFD!$D$2:$D$1048791,MATCH($Q38,DFD!$B$2:$B$1048791,0)),"")</f>
        <v/>
      </c>
      <c r="V38" s="77" t="str">
        <f t="array" ref="V38">IFERROR(INDEX(DFD!$F$2:$F$1048791,MATCH($Q38,DFD!$B$2:$B$1048791,0)),"")</f>
        <v/>
      </c>
      <c r="W38" s="84" t="str">
        <f t="array" ref="W38">IFERROR(INDEX(DFD!$E$2:$E$1048791,MATCH($Q38,DFD!$B$2:$B$1048791,0)),"")</f>
        <v/>
      </c>
      <c r="X38" s="84" t="str">
        <f t="array" ref="X38">IFERROR(INDEX(DFD!$K$2:$K$1048791,MATCH($Q38,DFD!$B$2:$B$1048791,0)),"")</f>
        <v/>
      </c>
      <c r="Y38" s="84" t="str">
        <f t="array" ref="Y38">IFERROR(INDEX(DFD!$L$2:$L$1048790,MATCH($Q38,DFD!$B$2:$B$1048790,0)),"")</f>
        <v/>
      </c>
      <c r="Z38" s="84">
        <f t="shared" si="4"/>
        <v>45</v>
      </c>
      <c r="AA38" s="59"/>
      <c r="AB38" s="59" t="s">
        <v>78</v>
      </c>
      <c r="AC38" s="59"/>
      <c r="AD38" s="85">
        <v>46043.0</v>
      </c>
      <c r="AE38" s="86">
        <f t="shared" si="2"/>
        <v>1</v>
      </c>
    </row>
    <row r="39" ht="51.75" customHeight="1">
      <c r="A39" s="92" t="s">
        <v>189</v>
      </c>
      <c r="B39" s="87" t="s">
        <v>184</v>
      </c>
      <c r="C39" s="88" t="s">
        <v>190</v>
      </c>
      <c r="D39" s="88" t="s">
        <v>51</v>
      </c>
      <c r="E39" s="88">
        <v>400.0</v>
      </c>
      <c r="F39" s="89">
        <v>5628.0</v>
      </c>
      <c r="G39" s="90" t="s">
        <v>53</v>
      </c>
      <c r="H39" s="91">
        <v>46204.0</v>
      </c>
      <c r="I39" s="92" t="s">
        <v>17</v>
      </c>
      <c r="J39" s="92" t="s">
        <v>54</v>
      </c>
      <c r="K39" s="92" t="s">
        <v>66</v>
      </c>
      <c r="L39" s="92" t="s">
        <v>67</v>
      </c>
      <c r="M39" s="90" t="s">
        <v>57</v>
      </c>
      <c r="N39" s="92" t="s">
        <v>20</v>
      </c>
      <c r="O39" s="87" t="s">
        <v>69</v>
      </c>
      <c r="P39" s="87"/>
      <c r="Q39" s="87" t="s">
        <v>191</v>
      </c>
      <c r="R39" s="93" t="s">
        <v>187</v>
      </c>
      <c r="S39" s="87"/>
      <c r="T39" s="87"/>
      <c r="U39" s="94" t="str">
        <f t="array" ref="U39">IFERROR(INDEX(DFD!$D$2:$D$1048791,MATCH($Q39,DFD!$B$2:$B$1048791,0)),"")</f>
        <v/>
      </c>
      <c r="V39" s="94" t="str">
        <f t="array" ref="V39">IFERROR(INDEX(DFD!$F$2:$F$1048791,MATCH($Q39,DFD!$B$2:$B$1048791,0)),"")</f>
        <v/>
      </c>
      <c r="W39" s="97" t="str">
        <f t="array" ref="W39">IFERROR(INDEX(DFD!$E$2:$E$1048791,MATCH($Q39,DFD!$B$2:$B$1048791,0)),"")</f>
        <v/>
      </c>
      <c r="X39" s="97" t="str">
        <f t="array" ref="X39">IFERROR(INDEX(DFD!$K$2:$K$1048791,MATCH($Q39,DFD!$B$2:$B$1048791,0)),"")</f>
        <v/>
      </c>
      <c r="Y39" s="97" t="str">
        <f t="array" ref="Y39">IFERROR(INDEX(DFD!$L$2:$L$1048790,MATCH($Q39,DFD!$B$2:$B$1048790,0)),"")</f>
        <v/>
      </c>
      <c r="Z39" s="97">
        <f t="shared" si="4"/>
        <v>45</v>
      </c>
      <c r="AA39" s="87"/>
      <c r="AB39" s="87" t="s">
        <v>78</v>
      </c>
      <c r="AC39" s="87"/>
      <c r="AD39" s="99">
        <v>46043.0</v>
      </c>
      <c r="AE39" s="100">
        <f t="shared" si="2"/>
        <v>1</v>
      </c>
    </row>
    <row r="40" ht="51.75" customHeight="1">
      <c r="A40" s="67" t="s">
        <v>207</v>
      </c>
      <c r="B40" s="59" t="s">
        <v>99</v>
      </c>
      <c r="C40" s="60" t="s">
        <v>208</v>
      </c>
      <c r="D40" s="60" t="s">
        <v>51</v>
      </c>
      <c r="E40" s="60">
        <v>1.0</v>
      </c>
      <c r="F40" s="72">
        <v>350.0</v>
      </c>
      <c r="G40" s="73" t="s">
        <v>53</v>
      </c>
      <c r="H40" s="74">
        <v>46174.0</v>
      </c>
      <c r="I40" s="67" t="s">
        <v>17</v>
      </c>
      <c r="J40" s="67" t="s">
        <v>54</v>
      </c>
      <c r="K40" s="67" t="s">
        <v>66</v>
      </c>
      <c r="L40" s="67" t="s">
        <v>56</v>
      </c>
      <c r="M40" s="73" t="s">
        <v>132</v>
      </c>
      <c r="N40" s="67" t="s">
        <v>20</v>
      </c>
      <c r="O40" s="59" t="s">
        <v>69</v>
      </c>
      <c r="P40" s="59"/>
      <c r="Q40" s="59" t="s">
        <v>214</v>
      </c>
      <c r="R40" s="76" t="s">
        <v>217</v>
      </c>
      <c r="S40" s="59"/>
      <c r="T40" s="59"/>
      <c r="U40" s="77" t="str">
        <f t="array" ref="U40">IFERROR(INDEX(DFD!$D$2:$D$1048791,MATCH($Q40,DFD!$B$2:$B$1048791,0)),"")</f>
        <v/>
      </c>
      <c r="V40" s="77" t="str">
        <f t="array" ref="V40">IFERROR(INDEX(DFD!$F$2:$F$1048791,MATCH($Q40,DFD!$B$2:$B$1048791,0)),"")</f>
        <v/>
      </c>
      <c r="W40" s="84" t="str">
        <f t="array" ref="W40">IFERROR(INDEX(DFD!$E$2:$E$1048791,MATCH($Q40,DFD!$B$2:$B$1048791,0)),"")</f>
        <v/>
      </c>
      <c r="X40" s="84" t="str">
        <f t="array" ref="X40">IFERROR(INDEX(DFD!$K$2:$K$1048791,MATCH($Q40,DFD!$B$2:$B$1048791,0)),"")</f>
        <v/>
      </c>
      <c r="Y40" s="84" t="str">
        <f t="array" ref="Y40">IFERROR(INDEX(DFD!$L$2:$L$1048790,MATCH($Q40,DFD!$B$2:$B$1048790,0)),"")</f>
        <v/>
      </c>
      <c r="Z40" s="84">
        <f t="shared" si="4"/>
        <v>45</v>
      </c>
      <c r="AA40" s="59"/>
      <c r="AB40" s="59" t="s">
        <v>78</v>
      </c>
      <c r="AC40" s="59"/>
      <c r="AD40" s="85">
        <v>46043.0</v>
      </c>
      <c r="AE40" s="86">
        <f t="shared" si="2"/>
        <v>1</v>
      </c>
    </row>
    <row r="41" ht="51.75" customHeight="1">
      <c r="A41" s="87" t="s">
        <v>255</v>
      </c>
      <c r="B41" s="87" t="s">
        <v>101</v>
      </c>
      <c r="C41" s="88" t="s">
        <v>256</v>
      </c>
      <c r="D41" s="88" t="s">
        <v>51</v>
      </c>
      <c r="E41" s="88">
        <v>8.0</v>
      </c>
      <c r="F41" s="89">
        <v>2000.0</v>
      </c>
      <c r="G41" s="90" t="s">
        <v>53</v>
      </c>
      <c r="H41" s="91">
        <v>46174.0</v>
      </c>
      <c r="I41" s="92" t="s">
        <v>17</v>
      </c>
      <c r="J41" s="92" t="s">
        <v>54</v>
      </c>
      <c r="K41" s="92" t="s">
        <v>66</v>
      </c>
      <c r="L41" s="92" t="s">
        <v>56</v>
      </c>
      <c r="M41" s="90" t="s">
        <v>104</v>
      </c>
      <c r="N41" s="92" t="s">
        <v>58</v>
      </c>
      <c r="O41" s="92" t="s">
        <v>89</v>
      </c>
      <c r="P41" s="87"/>
      <c r="Q41" s="87" t="s">
        <v>118</v>
      </c>
      <c r="R41" s="93" t="s">
        <v>181</v>
      </c>
      <c r="S41" s="87"/>
      <c r="T41" s="87"/>
      <c r="U41" s="94" t="str">
        <f t="array" ref="U41">IFERROR(INDEX(DFD!$D$2:$D$1048791,MATCH($Q41,DFD!$B$2:$B$1048791,0)),"")</f>
        <v/>
      </c>
      <c r="V41" s="94" t="str">
        <f t="array" ref="V41">IFERROR(INDEX(DFD!$F$2:$F$1048791,MATCH($Q41,DFD!$B$2:$B$1048791,0)),"")</f>
        <v/>
      </c>
      <c r="W41" s="97" t="str">
        <f t="array" ref="W41">IFERROR(INDEX(DFD!$E$2:$E$1048791,MATCH($Q41,DFD!$B$2:$B$1048791,0)),"")</f>
        <v/>
      </c>
      <c r="X41" s="97" t="str">
        <f t="array" ref="X41">IFERROR(INDEX(DFD!$K$2:$K$1048791,MATCH($Q41,DFD!$B$2:$B$1048791,0)),"")</f>
        <v/>
      </c>
      <c r="Y41" s="97" t="str">
        <f t="array" ref="Y41">IFERROR(INDEX(DFD!$L$2:$L$1048790,MATCH($Q41,DFD!$B$2:$B$1048790,0)),"")</f>
        <v/>
      </c>
      <c r="Z41" s="97">
        <f t="shared" si="4"/>
        <v>45</v>
      </c>
      <c r="AA41" s="87"/>
      <c r="AB41" s="87" t="s">
        <v>78</v>
      </c>
      <c r="AC41" s="87"/>
      <c r="AD41" s="99">
        <v>46043.0</v>
      </c>
      <c r="AE41" s="100">
        <f t="shared" si="2"/>
        <v>1</v>
      </c>
    </row>
    <row r="42" ht="51.75" customHeight="1">
      <c r="A42" s="67" t="s">
        <v>257</v>
      </c>
      <c r="B42" s="59" t="s">
        <v>184</v>
      </c>
      <c r="C42" s="60" t="s">
        <v>258</v>
      </c>
      <c r="D42" s="60" t="s">
        <v>51</v>
      </c>
      <c r="E42" s="60">
        <v>1500.0</v>
      </c>
      <c r="F42" s="72">
        <v>15000.0</v>
      </c>
      <c r="G42" s="73" t="s">
        <v>53</v>
      </c>
      <c r="H42" s="74">
        <v>46235.0</v>
      </c>
      <c r="I42" s="67" t="s">
        <v>17</v>
      </c>
      <c r="J42" s="67" t="s">
        <v>54</v>
      </c>
      <c r="K42" s="67" t="s">
        <v>66</v>
      </c>
      <c r="L42" s="67" t="s">
        <v>67</v>
      </c>
      <c r="M42" s="73" t="s">
        <v>68</v>
      </c>
      <c r="N42" s="67" t="s">
        <v>20</v>
      </c>
      <c r="O42" s="59" t="s">
        <v>69</v>
      </c>
      <c r="P42" s="59"/>
      <c r="Q42" s="59" t="s">
        <v>259</v>
      </c>
      <c r="R42" s="76" t="s">
        <v>187</v>
      </c>
      <c r="S42" s="59"/>
      <c r="T42" s="59"/>
      <c r="U42" s="77" t="str">
        <f t="array" ref="U42">IFERROR(INDEX(DFD!$D$2:$D$1048791,MATCH($Q42,DFD!$B$2:$B$1048791,0)),"")</f>
        <v/>
      </c>
      <c r="V42" s="77" t="str">
        <f t="array" ref="V42">IFERROR(INDEX(DFD!$F$2:$F$1048791,MATCH($Q42,DFD!$B$2:$B$1048791,0)),"")</f>
        <v/>
      </c>
      <c r="W42" s="84" t="str">
        <f t="array" ref="W42">IFERROR(INDEX(DFD!$E$2:$E$1048791,MATCH($Q42,DFD!$B$2:$B$1048791,0)),"")</f>
        <v/>
      </c>
      <c r="X42" s="84" t="str">
        <f t="array" ref="X42">IFERROR(INDEX(DFD!$K$2:$K$1048791,MATCH($Q42,DFD!$B$2:$B$1048791,0)),"")</f>
        <v/>
      </c>
      <c r="Y42" s="84" t="str">
        <f t="array" ref="Y42">IFERROR(INDEX(DFD!$L$2:$L$1048790,MATCH($Q42,DFD!$B$2:$B$1048790,0)),"")</f>
        <v/>
      </c>
      <c r="Z42" s="84">
        <f t="shared" si="4"/>
        <v>45</v>
      </c>
      <c r="AA42" s="59"/>
      <c r="AB42" s="59" t="s">
        <v>78</v>
      </c>
      <c r="AC42" s="59"/>
      <c r="AD42" s="85">
        <v>46043.0</v>
      </c>
      <c r="AE42" s="86">
        <f t="shared" si="2"/>
        <v>1</v>
      </c>
    </row>
    <row r="43" ht="15.75" customHeight="1">
      <c r="A43" s="87" t="s">
        <v>260</v>
      </c>
      <c r="B43" s="87" t="s">
        <v>148</v>
      </c>
      <c r="C43" s="88" t="s">
        <v>258</v>
      </c>
      <c r="D43" s="88" t="s">
        <v>261</v>
      </c>
      <c r="E43" s="88">
        <v>10.0</v>
      </c>
      <c r="F43" s="89">
        <v>100.0</v>
      </c>
      <c r="G43" s="90" t="s">
        <v>53</v>
      </c>
      <c r="H43" s="91">
        <v>46143.0</v>
      </c>
      <c r="I43" s="92" t="s">
        <v>17</v>
      </c>
      <c r="J43" s="92" t="s">
        <v>54</v>
      </c>
      <c r="K43" s="92" t="s">
        <v>66</v>
      </c>
      <c r="L43" s="92" t="s">
        <v>67</v>
      </c>
      <c r="M43" s="90" t="s">
        <v>68</v>
      </c>
      <c r="N43" s="92" t="s">
        <v>5</v>
      </c>
      <c r="O43" s="87" t="s">
        <v>69</v>
      </c>
      <c r="P43" s="87"/>
      <c r="Q43" s="87" t="s">
        <v>259</v>
      </c>
      <c r="R43" s="93" t="s">
        <v>187</v>
      </c>
      <c r="S43" s="87"/>
      <c r="T43" s="87"/>
      <c r="U43" s="94" t="str">
        <f t="array" ref="U43">IFERROR(INDEX(DFD!$D$2:$D$1048791,MATCH($Q43,DFD!$B$2:$B$1048791,0)),"")</f>
        <v/>
      </c>
      <c r="V43" s="94" t="str">
        <f t="array" ref="V43">IFERROR(INDEX(DFD!$F$2:$F$1048791,MATCH($Q43,DFD!$B$2:$B$1048791,0)),"")</f>
        <v/>
      </c>
      <c r="W43" s="97" t="str">
        <f t="array" ref="W43">IFERROR(INDEX(DFD!$E$2:$E$1048791,MATCH($Q43,DFD!$B$2:$B$1048791,0)),"")</f>
        <v/>
      </c>
      <c r="X43" s="97" t="str">
        <f t="array" ref="X43">IFERROR(INDEX(DFD!$K$2:$K$1048791,MATCH($Q43,DFD!$B$2:$B$1048791,0)),"")</f>
        <v/>
      </c>
      <c r="Y43" s="97" t="str">
        <f t="array" ref="Y43">IFERROR(INDEX(DFD!$L$2:$L$1048790,MATCH($Q43,DFD!$B$2:$B$1048790,0)),"")</f>
        <v/>
      </c>
      <c r="Z43" s="97">
        <f t="shared" si="4"/>
        <v>45</v>
      </c>
      <c r="AA43" s="87"/>
      <c r="AB43" s="87" t="s">
        <v>78</v>
      </c>
      <c r="AC43" s="87"/>
      <c r="AD43" s="99">
        <v>46043.0</v>
      </c>
      <c r="AE43" s="100">
        <f t="shared" si="2"/>
        <v>1</v>
      </c>
    </row>
    <row r="44" ht="15.75" customHeight="1">
      <c r="A44" s="67" t="s">
        <v>262</v>
      </c>
      <c r="B44" s="59" t="s">
        <v>184</v>
      </c>
      <c r="C44" s="60" t="s">
        <v>263</v>
      </c>
      <c r="D44" s="60" t="s">
        <v>51</v>
      </c>
      <c r="E44" s="60">
        <v>400.0</v>
      </c>
      <c r="F44" s="72">
        <v>5400.0</v>
      </c>
      <c r="G44" s="73" t="s">
        <v>53</v>
      </c>
      <c r="H44" s="74">
        <v>46204.0</v>
      </c>
      <c r="I44" s="67" t="s">
        <v>17</v>
      </c>
      <c r="J44" s="67" t="s">
        <v>54</v>
      </c>
      <c r="K44" s="67" t="s">
        <v>66</v>
      </c>
      <c r="L44" s="67" t="s">
        <v>67</v>
      </c>
      <c r="M44" s="73" t="s">
        <v>68</v>
      </c>
      <c r="N44" s="67" t="s">
        <v>20</v>
      </c>
      <c r="O44" s="67" t="s">
        <v>89</v>
      </c>
      <c r="P44" s="59"/>
      <c r="Q44" s="59" t="s">
        <v>264</v>
      </c>
      <c r="R44" s="76" t="s">
        <v>187</v>
      </c>
      <c r="S44" s="59"/>
      <c r="T44" s="59"/>
      <c r="U44" s="77" t="str">
        <f t="array" ref="U44">IFERROR(INDEX(DFD!$D$2:$D$1048791,MATCH($Q44,DFD!$B$2:$B$1048791,0)),"")</f>
        <v/>
      </c>
      <c r="V44" s="77" t="str">
        <f t="array" ref="V44">IFERROR(INDEX(DFD!$F$2:$F$1048791,MATCH($Q44,DFD!$B$2:$B$1048791,0)),"")</f>
        <v/>
      </c>
      <c r="W44" s="84" t="str">
        <f t="array" ref="W44">IFERROR(INDEX(DFD!$E$2:$E$1048791,MATCH($Q44,DFD!$B$2:$B$1048791,0)),"")</f>
        <v/>
      </c>
      <c r="X44" s="84" t="str">
        <f t="array" ref="X44">IFERROR(INDEX(DFD!$K$2:$K$1048791,MATCH($Q44,DFD!$B$2:$B$1048791,0)),"")</f>
        <v/>
      </c>
      <c r="Y44" s="84" t="str">
        <f t="array" ref="Y44">IFERROR(INDEX(DFD!$L$2:$L$1048790,MATCH($Q44,DFD!$B$2:$B$1048790,0)),"")</f>
        <v/>
      </c>
      <c r="Z44" s="84">
        <f t="shared" si="4"/>
        <v>45</v>
      </c>
      <c r="AA44" s="59"/>
      <c r="AB44" s="59" t="s">
        <v>78</v>
      </c>
      <c r="AC44" s="59"/>
      <c r="AD44" s="85">
        <v>46043.0</v>
      </c>
      <c r="AE44" s="86">
        <f t="shared" si="2"/>
        <v>1</v>
      </c>
    </row>
    <row r="45" ht="15.75" customHeight="1">
      <c r="A45" s="87" t="s">
        <v>265</v>
      </c>
      <c r="B45" s="87" t="s">
        <v>148</v>
      </c>
      <c r="C45" s="88" t="s">
        <v>266</v>
      </c>
      <c r="D45" s="88" t="s">
        <v>267</v>
      </c>
      <c r="E45" s="88">
        <v>20.0</v>
      </c>
      <c r="F45" s="89">
        <v>160.0</v>
      </c>
      <c r="G45" s="90" t="s">
        <v>53</v>
      </c>
      <c r="H45" s="91">
        <v>46143.0</v>
      </c>
      <c r="I45" s="92" t="s">
        <v>17</v>
      </c>
      <c r="J45" s="92" t="s">
        <v>54</v>
      </c>
      <c r="K45" s="92" t="s">
        <v>66</v>
      </c>
      <c r="L45" s="92" t="s">
        <v>67</v>
      </c>
      <c r="M45" s="90" t="s">
        <v>68</v>
      </c>
      <c r="N45" s="92" t="s">
        <v>5</v>
      </c>
      <c r="O45" s="87" t="s">
        <v>69</v>
      </c>
      <c r="P45" s="87"/>
      <c r="Q45" s="87" t="s">
        <v>268</v>
      </c>
      <c r="R45" s="93" t="s">
        <v>269</v>
      </c>
      <c r="S45" s="87"/>
      <c r="T45" s="87"/>
      <c r="U45" s="94" t="str">
        <f t="array" ref="U45">IFERROR(INDEX(DFD!$D$2:$D$1048791,MATCH($Q45,DFD!$B$2:$B$1048791,0)),"")</f>
        <v/>
      </c>
      <c r="V45" s="94" t="str">
        <f t="array" ref="V45">IFERROR(INDEX(DFD!$F$2:$F$1048791,MATCH($Q45,DFD!$B$2:$B$1048791,0)),"")</f>
        <v/>
      </c>
      <c r="W45" s="97" t="str">
        <f t="array" ref="W45">IFERROR(INDEX(DFD!$E$2:$E$1048791,MATCH($Q45,DFD!$B$2:$B$1048791,0)),"")</f>
        <v/>
      </c>
      <c r="X45" s="97" t="str">
        <f t="array" ref="X45">IFERROR(INDEX(DFD!$K$2:$K$1048791,MATCH($Q45,DFD!$B$2:$B$1048791,0)),"")</f>
        <v/>
      </c>
      <c r="Y45" s="97" t="str">
        <f t="array" ref="Y45">IFERROR(INDEX(DFD!$L$2:$L$1048790,MATCH($Q45,DFD!$B$2:$B$1048790,0)),"")</f>
        <v/>
      </c>
      <c r="Z45" s="97">
        <f t="shared" si="4"/>
        <v>45</v>
      </c>
      <c r="AA45" s="87"/>
      <c r="AB45" s="87" t="s">
        <v>78</v>
      </c>
      <c r="AC45" s="87"/>
      <c r="AD45" s="99">
        <v>46043.0</v>
      </c>
      <c r="AE45" s="100">
        <f t="shared" si="2"/>
        <v>1</v>
      </c>
    </row>
    <row r="46" ht="15.75" customHeight="1">
      <c r="A46" s="59" t="s">
        <v>271</v>
      </c>
      <c r="B46" s="59" t="s">
        <v>101</v>
      </c>
      <c r="C46" s="60" t="s">
        <v>272</v>
      </c>
      <c r="D46" s="60" t="s">
        <v>51</v>
      </c>
      <c r="E46" s="60">
        <v>2.0</v>
      </c>
      <c r="F46" s="72">
        <v>624.0</v>
      </c>
      <c r="G46" s="73" t="s">
        <v>53</v>
      </c>
      <c r="H46" s="74">
        <v>46174.0</v>
      </c>
      <c r="I46" s="67" t="s">
        <v>17</v>
      </c>
      <c r="J46" s="67" t="s">
        <v>54</v>
      </c>
      <c r="K46" s="67" t="s">
        <v>66</v>
      </c>
      <c r="L46" s="67" t="s">
        <v>56</v>
      </c>
      <c r="M46" s="73" t="s">
        <v>132</v>
      </c>
      <c r="N46" s="67" t="s">
        <v>58</v>
      </c>
      <c r="O46" s="59" t="s">
        <v>69</v>
      </c>
      <c r="P46" s="59"/>
      <c r="Q46" s="59" t="s">
        <v>118</v>
      </c>
      <c r="R46" s="76" t="s">
        <v>181</v>
      </c>
      <c r="S46" s="59"/>
      <c r="T46" s="59"/>
      <c r="U46" s="77" t="str">
        <f t="array" ref="U46">IFERROR(INDEX(DFD!$D$2:$D$1048791,MATCH($Q46,DFD!$B$2:$B$1048791,0)),"")</f>
        <v/>
      </c>
      <c r="V46" s="77" t="str">
        <f t="array" ref="V46">IFERROR(INDEX(DFD!$F$2:$F$1048791,MATCH($Q46,DFD!$B$2:$B$1048791,0)),"")</f>
        <v/>
      </c>
      <c r="W46" s="84" t="str">
        <f t="array" ref="W46">IFERROR(INDEX(DFD!$E$2:$E$1048791,MATCH($Q46,DFD!$B$2:$B$1048791,0)),"")</f>
        <v/>
      </c>
      <c r="X46" s="84" t="str">
        <f t="array" ref="X46">IFERROR(INDEX(DFD!$K$2:$K$1048791,MATCH($Q46,DFD!$B$2:$B$1048791,0)),"")</f>
        <v/>
      </c>
      <c r="Y46" s="84" t="str">
        <f t="array" ref="Y46">IFERROR(INDEX(DFD!$L$2:$L$1048790,MATCH($Q46,DFD!$B$2:$B$1048790,0)),"")</f>
        <v/>
      </c>
      <c r="Z46" s="84">
        <f t="shared" si="4"/>
        <v>45</v>
      </c>
      <c r="AA46" s="59"/>
      <c r="AB46" s="59" t="s">
        <v>78</v>
      </c>
      <c r="AC46" s="59"/>
      <c r="AD46" s="85">
        <v>46043.0</v>
      </c>
      <c r="AE46" s="86">
        <f t="shared" si="2"/>
        <v>1</v>
      </c>
    </row>
    <row r="47" ht="15.75" customHeight="1">
      <c r="A47" s="87" t="s">
        <v>273</v>
      </c>
      <c r="B47" s="87" t="s">
        <v>101</v>
      </c>
      <c r="C47" s="88" t="s">
        <v>274</v>
      </c>
      <c r="D47" s="88" t="s">
        <v>51</v>
      </c>
      <c r="E47" s="88">
        <v>2.0</v>
      </c>
      <c r="F47" s="89">
        <v>9600.0</v>
      </c>
      <c r="G47" s="90" t="s">
        <v>53</v>
      </c>
      <c r="H47" s="91">
        <v>46204.0</v>
      </c>
      <c r="I47" s="92" t="s">
        <v>17</v>
      </c>
      <c r="J47" s="92" t="s">
        <v>54</v>
      </c>
      <c r="K47" s="92" t="s">
        <v>66</v>
      </c>
      <c r="L47" s="92" t="s">
        <v>56</v>
      </c>
      <c r="M47" s="90" t="s">
        <v>68</v>
      </c>
      <c r="N47" s="92" t="s">
        <v>58</v>
      </c>
      <c r="O47" s="92" t="s">
        <v>89</v>
      </c>
      <c r="P47" s="87"/>
      <c r="Q47" s="87" t="s">
        <v>275</v>
      </c>
      <c r="R47" s="93" t="s">
        <v>71</v>
      </c>
      <c r="S47" s="87"/>
      <c r="T47" s="87"/>
      <c r="U47" s="94" t="str">
        <f t="array" ref="U47">IFERROR(INDEX(DFD!$D$2:$D$1048791,MATCH($Q47,DFD!$B$2:$B$1048791,0)),"")</f>
        <v/>
      </c>
      <c r="V47" s="94" t="str">
        <f t="array" ref="V47">IFERROR(INDEX(DFD!$F$2:$F$1048791,MATCH($Q47,DFD!$B$2:$B$1048791,0)),"")</f>
        <v/>
      </c>
      <c r="W47" s="97" t="str">
        <f t="array" ref="W47">IFERROR(INDEX(DFD!$E$2:$E$1048791,MATCH($Q47,DFD!$B$2:$B$1048791,0)),"")</f>
        <v/>
      </c>
      <c r="X47" s="97" t="str">
        <f t="array" ref="X47">IFERROR(INDEX(DFD!$K$2:$K$1048791,MATCH($Q47,DFD!$B$2:$B$1048791,0)),"")</f>
        <v/>
      </c>
      <c r="Y47" s="97" t="str">
        <f t="array" ref="Y47">IFERROR(INDEX(DFD!$L$2:$L$1048790,MATCH($Q47,DFD!$B$2:$B$1048790,0)),"")</f>
        <v/>
      </c>
      <c r="Z47" s="97">
        <f t="shared" si="4"/>
        <v>45</v>
      </c>
      <c r="AA47" s="87"/>
      <c r="AB47" s="87" t="s">
        <v>78</v>
      </c>
      <c r="AC47" s="87"/>
      <c r="AD47" s="99">
        <v>46043.0</v>
      </c>
      <c r="AE47" s="100">
        <f t="shared" si="2"/>
        <v>1</v>
      </c>
    </row>
    <row r="48" ht="15.75" customHeight="1">
      <c r="A48" s="67" t="s">
        <v>276</v>
      </c>
      <c r="B48" s="71" t="s">
        <v>277</v>
      </c>
      <c r="C48" s="135" t="s">
        <v>278</v>
      </c>
      <c r="D48" s="60" t="s">
        <v>51</v>
      </c>
      <c r="E48" s="60">
        <v>5000.0</v>
      </c>
      <c r="F48" s="72">
        <v>20000.0</v>
      </c>
      <c r="G48" s="73" t="s">
        <v>53</v>
      </c>
      <c r="H48" s="74">
        <v>46235.0</v>
      </c>
      <c r="I48" s="67" t="s">
        <v>17</v>
      </c>
      <c r="J48" s="67" t="s">
        <v>54</v>
      </c>
      <c r="K48" s="67" t="s">
        <v>83</v>
      </c>
      <c r="L48" s="67" t="s">
        <v>56</v>
      </c>
      <c r="M48" s="73" t="s">
        <v>104</v>
      </c>
      <c r="N48" s="67" t="s">
        <v>20</v>
      </c>
      <c r="O48" s="59" t="s">
        <v>69</v>
      </c>
      <c r="P48" s="59"/>
      <c r="Q48" s="59" t="s">
        <v>279</v>
      </c>
      <c r="R48" s="76" t="s">
        <v>71</v>
      </c>
      <c r="S48" s="59"/>
      <c r="T48" s="59"/>
      <c r="U48" s="77" t="str">
        <f t="array" ref="U48">IFERROR(INDEX(DFD!$D$2:$D$1048791,MATCH($Q48,DFD!$B$2:$B$1048791,0)),"")</f>
        <v/>
      </c>
      <c r="V48" s="77" t="s">
        <v>280</v>
      </c>
      <c r="W48" s="84" t="str">
        <f t="array" ref="W48">IFERROR(INDEX(DFD!$E$2:$E$1048791,MATCH($Q48,DFD!$B$2:$B$1048791,0)),"")</f>
        <v/>
      </c>
      <c r="X48" s="84" t="str">
        <f t="array" ref="X48">IFERROR(INDEX(DFD!$K$2:$K$1048791,MATCH($Q48,DFD!$B$2:$B$1048791,0)),"")</f>
        <v/>
      </c>
      <c r="Y48" s="84" t="str">
        <f t="array" ref="Y48">IFERROR(INDEX(DFD!$L$2:$L$1048790,MATCH($Q48,DFD!$B$2:$B$1048790,0)),"")</f>
        <v/>
      </c>
      <c r="Z48" s="84">
        <f t="shared" si="4"/>
        <v>45</v>
      </c>
      <c r="AA48" s="59"/>
      <c r="AB48" s="59" t="s">
        <v>78</v>
      </c>
      <c r="AC48" s="59"/>
      <c r="AD48" s="85">
        <v>46043.0</v>
      </c>
      <c r="AE48" s="86">
        <f t="shared" si="2"/>
        <v>1</v>
      </c>
    </row>
    <row r="49" ht="15.75" customHeight="1">
      <c r="A49" s="87" t="s">
        <v>281</v>
      </c>
      <c r="B49" s="87" t="s">
        <v>49</v>
      </c>
      <c r="C49" s="88" t="s">
        <v>282</v>
      </c>
      <c r="D49" s="88" t="s">
        <v>51</v>
      </c>
      <c r="E49" s="88">
        <v>20.0</v>
      </c>
      <c r="F49" s="89">
        <v>30000.0</v>
      </c>
      <c r="G49" s="90" t="s">
        <v>53</v>
      </c>
      <c r="H49" s="91">
        <v>46235.0</v>
      </c>
      <c r="I49" s="92" t="s">
        <v>17</v>
      </c>
      <c r="J49" s="92" t="s">
        <v>54</v>
      </c>
      <c r="K49" s="92" t="s">
        <v>66</v>
      </c>
      <c r="L49" s="92" t="s">
        <v>56</v>
      </c>
      <c r="M49" s="90" t="s">
        <v>132</v>
      </c>
      <c r="N49" s="92" t="s">
        <v>58</v>
      </c>
      <c r="O49" s="87" t="s">
        <v>69</v>
      </c>
      <c r="P49" s="87"/>
      <c r="Q49" s="87" t="s">
        <v>133</v>
      </c>
      <c r="R49" s="93" t="s">
        <v>134</v>
      </c>
      <c r="S49" s="87"/>
      <c r="T49" s="87"/>
      <c r="U49" s="94" t="str">
        <f t="array" ref="U49">IFERROR(INDEX(DFD!$D$2:$D$1048791,MATCH($Q49,DFD!$B$2:$B$1048791,0)),"")</f>
        <v/>
      </c>
      <c r="V49" s="94" t="s">
        <v>62</v>
      </c>
      <c r="W49" s="97" t="str">
        <f t="array" ref="W49">IFERROR(INDEX(DFD!$E$2:$E$1048791,MATCH($Q49,DFD!$B$2:$B$1048791,0)),"")</f>
        <v/>
      </c>
      <c r="X49" s="97" t="str">
        <f t="array" ref="X49">IFERROR(INDEX(DFD!$K$2:$K$1048791,MATCH($Q49,DFD!$B$2:$B$1048791,0)),"")</f>
        <v/>
      </c>
      <c r="Y49" s="97" t="str">
        <f t="array" ref="Y49">IFERROR(INDEX(DFD!$L$2:$L$1048790,MATCH($Q49,DFD!$B$2:$B$1048790,0)),"")</f>
        <v/>
      </c>
      <c r="Z49" s="97">
        <f t="shared" si="4"/>
        <v>45</v>
      </c>
      <c r="AA49" s="87"/>
      <c r="AB49" s="87" t="s">
        <v>78</v>
      </c>
      <c r="AC49" s="87"/>
      <c r="AD49" s="99">
        <v>46043.0</v>
      </c>
      <c r="AE49" s="100">
        <f t="shared" si="2"/>
        <v>1</v>
      </c>
    </row>
    <row r="50" ht="15.75" customHeight="1">
      <c r="A50" s="67" t="s">
        <v>284</v>
      </c>
      <c r="B50" s="59" t="s">
        <v>184</v>
      </c>
      <c r="C50" s="60" t="s">
        <v>285</v>
      </c>
      <c r="D50" s="60" t="s">
        <v>51</v>
      </c>
      <c r="E50" s="60">
        <v>60.0</v>
      </c>
      <c r="F50" s="72">
        <v>570.0</v>
      </c>
      <c r="G50" s="73" t="s">
        <v>53</v>
      </c>
      <c r="H50" s="74">
        <v>46174.0</v>
      </c>
      <c r="I50" s="67" t="s">
        <v>17</v>
      </c>
      <c r="J50" s="67" t="s">
        <v>54</v>
      </c>
      <c r="K50" s="67" t="s">
        <v>66</v>
      </c>
      <c r="L50" s="67" t="s">
        <v>67</v>
      </c>
      <c r="M50" s="73" t="s">
        <v>104</v>
      </c>
      <c r="N50" s="67" t="s">
        <v>20</v>
      </c>
      <c r="O50" s="67" t="s">
        <v>89</v>
      </c>
      <c r="P50" s="59"/>
      <c r="Q50" s="59" t="s">
        <v>286</v>
      </c>
      <c r="R50" s="76" t="s">
        <v>287</v>
      </c>
      <c r="S50" s="59"/>
      <c r="T50" s="59"/>
      <c r="U50" s="77" t="str">
        <f t="array" ref="U50">IFERROR(INDEX(DFD!$D$2:$D$1048791,MATCH($Q50,DFD!$B$2:$B$1048791,0)),"")</f>
        <v/>
      </c>
      <c r="V50" s="77" t="str">
        <f t="array" ref="V50">IFERROR(INDEX(DFD!$F$2:$F$1048791,MATCH($Q50,DFD!$B$2:$B$1048791,0)),"")</f>
        <v/>
      </c>
      <c r="W50" s="84" t="str">
        <f t="array" ref="W50">IFERROR(INDEX(DFD!$E$2:$E$1048791,MATCH($Q50,DFD!$B$2:$B$1048791,0)),"")</f>
        <v/>
      </c>
      <c r="X50" s="84" t="str">
        <f t="array" ref="X50">IFERROR(INDEX(DFD!$K$2:$K$1048791,MATCH($Q50,DFD!$B$2:$B$1048791,0)),"")</f>
        <v/>
      </c>
      <c r="Y50" s="84" t="str">
        <f t="array" ref="Y50">IFERROR(INDEX(DFD!$L$2:$L$1048790,MATCH($Q50,DFD!$B$2:$B$1048790,0)),"")</f>
        <v/>
      </c>
      <c r="Z50" s="84">
        <f t="shared" si="4"/>
        <v>45</v>
      </c>
      <c r="AA50" s="59"/>
      <c r="AB50" s="59" t="s">
        <v>288</v>
      </c>
      <c r="AC50" s="59"/>
      <c r="AD50" s="85">
        <v>46043.0</v>
      </c>
      <c r="AE50" s="86">
        <f t="shared" si="2"/>
        <v>1</v>
      </c>
    </row>
    <row r="51" ht="15.75" customHeight="1">
      <c r="A51" s="92" t="s">
        <v>289</v>
      </c>
      <c r="B51" s="92" t="s">
        <v>171</v>
      </c>
      <c r="C51" s="88" t="s">
        <v>290</v>
      </c>
      <c r="D51" s="116" t="s">
        <v>51</v>
      </c>
      <c r="E51" s="116">
        <v>4.0</v>
      </c>
      <c r="F51" s="137">
        <v>20000.0</v>
      </c>
      <c r="G51" s="90" t="s">
        <v>53</v>
      </c>
      <c r="H51" s="118">
        <v>46235.0</v>
      </c>
      <c r="I51" s="92" t="s">
        <v>18</v>
      </c>
      <c r="J51" s="92" t="s">
        <v>54</v>
      </c>
      <c r="K51" s="92" t="s">
        <v>83</v>
      </c>
      <c r="L51" s="92" t="s">
        <v>56</v>
      </c>
      <c r="M51" s="90" t="s">
        <v>104</v>
      </c>
      <c r="N51" s="92" t="s">
        <v>20</v>
      </c>
      <c r="O51" s="87" t="s">
        <v>69</v>
      </c>
      <c r="P51" s="87"/>
      <c r="Q51" s="87" t="s">
        <v>291</v>
      </c>
      <c r="R51" s="93" t="s">
        <v>217</v>
      </c>
      <c r="S51" s="87"/>
      <c r="T51" s="87"/>
      <c r="U51" s="94" t="str">
        <f t="array" ref="U51">IFERROR(INDEX(DFD!$D$2:$D$1048791,MATCH($Q51,DFD!$B$2:$B$1048791,0)),"")</f>
        <v/>
      </c>
      <c r="V51" s="94" t="str">
        <f t="array" ref="V51">IFERROR(INDEX(DFD!$F$2:$F$1048791,MATCH($Q51,DFD!$B$2:$B$1048791,0)),"")</f>
        <v/>
      </c>
      <c r="W51" s="97" t="str">
        <f t="array" ref="W51">IFERROR(INDEX(DFD!$E$2:$E$1048791,MATCH($Q51,DFD!$B$2:$B$1048791,0)),"")</f>
        <v/>
      </c>
      <c r="X51" s="97" t="str">
        <f t="array" ref="X51">IFERROR(INDEX(DFD!$K$2:$K$1048791,MATCH($Q51,DFD!$B$2:$B$1048791,0)),"")</f>
        <v/>
      </c>
      <c r="Y51" s="97" t="str">
        <f t="array" ref="Y51">IFERROR(INDEX(DFD!$L$2:$L$1048790,MATCH($Q51,DFD!$B$2:$B$1048790,0)),"")</f>
        <v/>
      </c>
      <c r="Z51" s="97">
        <f t="shared" si="4"/>
        <v>45</v>
      </c>
      <c r="AA51" s="87" t="s">
        <v>294</v>
      </c>
      <c r="AB51" s="87" t="s">
        <v>78</v>
      </c>
      <c r="AC51" s="87"/>
      <c r="AD51" s="99">
        <v>46043.0</v>
      </c>
      <c r="AE51" s="100">
        <f t="shared" si="2"/>
        <v>1</v>
      </c>
    </row>
    <row r="52" ht="15.75" customHeight="1">
      <c r="A52" s="67" t="s">
        <v>295</v>
      </c>
      <c r="B52" s="67" t="s">
        <v>91</v>
      </c>
      <c r="C52" s="60" t="s">
        <v>290</v>
      </c>
      <c r="D52" s="81" t="s">
        <v>51</v>
      </c>
      <c r="E52" s="81">
        <v>2.0</v>
      </c>
      <c r="F52" s="101">
        <v>10000.0</v>
      </c>
      <c r="G52" s="73" t="s">
        <v>53</v>
      </c>
      <c r="H52" s="83">
        <v>46204.0</v>
      </c>
      <c r="I52" s="67" t="s">
        <v>18</v>
      </c>
      <c r="J52" s="67" t="s">
        <v>54</v>
      </c>
      <c r="K52" s="67" t="s">
        <v>83</v>
      </c>
      <c r="L52" s="67" t="s">
        <v>56</v>
      </c>
      <c r="M52" s="73" t="s">
        <v>104</v>
      </c>
      <c r="N52" s="67" t="s">
        <v>20</v>
      </c>
      <c r="O52" s="59" t="s">
        <v>69</v>
      </c>
      <c r="P52" s="59"/>
      <c r="Q52" s="59" t="s">
        <v>291</v>
      </c>
      <c r="R52" s="76" t="s">
        <v>217</v>
      </c>
      <c r="S52" s="59"/>
      <c r="T52" s="59"/>
      <c r="U52" s="77" t="str">
        <f t="array" ref="U52">IFERROR(INDEX(DFD!$D$2:$D$1048791,MATCH($Q52,DFD!$B$2:$B$1048791,0)),"")</f>
        <v/>
      </c>
      <c r="V52" s="77" t="str">
        <f t="array" ref="V52">IFERROR(INDEX(DFD!$F$2:$F$1048791,MATCH($Q52,DFD!$B$2:$B$1048791,0)),"")</f>
        <v/>
      </c>
      <c r="W52" s="84" t="str">
        <f t="array" ref="W52">IFERROR(INDEX(DFD!$E$2:$E$1048791,MATCH($Q52,DFD!$B$2:$B$1048791,0)),"")</f>
        <v/>
      </c>
      <c r="X52" s="84" t="str">
        <f t="array" ref="X52">IFERROR(INDEX(DFD!$K$2:$K$1048791,MATCH($Q52,DFD!$B$2:$B$1048791,0)),"")</f>
        <v/>
      </c>
      <c r="Y52" s="84" t="str">
        <f t="array" ref="Y52">IFERROR(INDEX(DFD!$L$2:$L$1048790,MATCH($Q52,DFD!$B$2:$B$1048790,0)),"")</f>
        <v/>
      </c>
      <c r="Z52" s="84">
        <f t="shared" si="4"/>
        <v>45</v>
      </c>
      <c r="AA52" s="59" t="s">
        <v>294</v>
      </c>
      <c r="AB52" s="59" t="s">
        <v>78</v>
      </c>
      <c r="AC52" s="59"/>
      <c r="AD52" s="85">
        <v>46043.0</v>
      </c>
      <c r="AE52" s="86">
        <f t="shared" si="2"/>
        <v>1</v>
      </c>
    </row>
    <row r="53" ht="15.75" customHeight="1">
      <c r="A53" s="92" t="s">
        <v>297</v>
      </c>
      <c r="B53" s="92" t="s">
        <v>98</v>
      </c>
      <c r="C53" s="88" t="s">
        <v>290</v>
      </c>
      <c r="D53" s="116" t="s">
        <v>51</v>
      </c>
      <c r="E53" s="116">
        <v>1.0</v>
      </c>
      <c r="F53" s="137">
        <v>5000.0</v>
      </c>
      <c r="G53" s="90" t="s">
        <v>53</v>
      </c>
      <c r="H53" s="118">
        <v>46204.0</v>
      </c>
      <c r="I53" s="92" t="s">
        <v>18</v>
      </c>
      <c r="J53" s="92" t="s">
        <v>54</v>
      </c>
      <c r="K53" s="92" t="s">
        <v>83</v>
      </c>
      <c r="L53" s="92" t="s">
        <v>56</v>
      </c>
      <c r="M53" s="90" t="s">
        <v>112</v>
      </c>
      <c r="N53" s="92" t="s">
        <v>20</v>
      </c>
      <c r="O53" s="92" t="s">
        <v>89</v>
      </c>
      <c r="P53" s="87"/>
      <c r="Q53" s="87" t="s">
        <v>291</v>
      </c>
      <c r="R53" s="93" t="s">
        <v>217</v>
      </c>
      <c r="S53" s="87"/>
      <c r="T53" s="87"/>
      <c r="U53" s="94" t="str">
        <f t="array" ref="U53">IFERROR(INDEX(DFD!$D$2:$D$1048791,MATCH($Q53,DFD!$B$2:$B$1048791,0)),"")</f>
        <v/>
      </c>
      <c r="V53" s="94" t="str">
        <f t="array" ref="V53">IFERROR(INDEX(DFD!$F$2:$F$1048791,MATCH($Q53,DFD!$B$2:$B$1048791,0)),"")</f>
        <v/>
      </c>
      <c r="W53" s="97" t="str">
        <f t="array" ref="W53">IFERROR(INDEX(DFD!$E$2:$E$1048791,MATCH($Q53,DFD!$B$2:$B$1048791,0)),"")</f>
        <v/>
      </c>
      <c r="X53" s="97" t="str">
        <f t="array" ref="X53">IFERROR(INDEX(DFD!$K$2:$K$1048791,MATCH($Q53,DFD!$B$2:$B$1048791,0)),"")</f>
        <v/>
      </c>
      <c r="Y53" s="97" t="str">
        <f t="array" ref="Y53">IFERROR(INDEX(DFD!$L$2:$L$1048790,MATCH($Q53,DFD!$B$2:$B$1048790,0)),"")</f>
        <v/>
      </c>
      <c r="Z53" s="97">
        <f t="shared" si="4"/>
        <v>45</v>
      </c>
      <c r="AA53" s="87" t="s">
        <v>294</v>
      </c>
      <c r="AB53" s="87" t="s">
        <v>78</v>
      </c>
      <c r="AC53" s="87"/>
      <c r="AD53" s="99">
        <v>46043.0</v>
      </c>
      <c r="AE53" s="100">
        <f t="shared" si="2"/>
        <v>1</v>
      </c>
    </row>
    <row r="54" ht="15.75" customHeight="1">
      <c r="A54" s="67" t="s">
        <v>299</v>
      </c>
      <c r="B54" s="67" t="s">
        <v>80</v>
      </c>
      <c r="C54" s="60" t="s">
        <v>300</v>
      </c>
      <c r="D54" s="81" t="s">
        <v>51</v>
      </c>
      <c r="E54" s="81">
        <v>3.0</v>
      </c>
      <c r="F54" s="101">
        <v>10500.0</v>
      </c>
      <c r="G54" s="73" t="s">
        <v>53</v>
      </c>
      <c r="H54" s="83">
        <v>46235.0</v>
      </c>
      <c r="I54" s="67" t="s">
        <v>18</v>
      </c>
      <c r="J54" s="67" t="s">
        <v>54</v>
      </c>
      <c r="K54" s="67" t="s">
        <v>83</v>
      </c>
      <c r="L54" s="67" t="s">
        <v>56</v>
      </c>
      <c r="M54" s="73" t="s">
        <v>132</v>
      </c>
      <c r="N54" s="67" t="s">
        <v>20</v>
      </c>
      <c r="O54" s="59" t="s">
        <v>69</v>
      </c>
      <c r="P54" s="59"/>
      <c r="Q54" s="59" t="s">
        <v>291</v>
      </c>
      <c r="R54" s="76" t="s">
        <v>217</v>
      </c>
      <c r="S54" s="59"/>
      <c r="T54" s="59"/>
      <c r="U54" s="77" t="str">
        <f t="array" ref="U54">IFERROR(INDEX(DFD!$D$2:$D$1048791,MATCH($Q54,DFD!$B$2:$B$1048791,0)),"")</f>
        <v/>
      </c>
      <c r="V54" s="77" t="str">
        <f t="array" ref="V54">IFERROR(INDEX(DFD!$F$2:$F$1048791,MATCH($Q54,DFD!$B$2:$B$1048791,0)),"")</f>
        <v/>
      </c>
      <c r="W54" s="84" t="str">
        <f t="array" ref="W54">IFERROR(INDEX(DFD!$E$2:$E$1048791,MATCH($Q54,DFD!$B$2:$B$1048791,0)),"")</f>
        <v/>
      </c>
      <c r="X54" s="84" t="str">
        <f t="array" ref="X54">IFERROR(INDEX(DFD!$K$2:$K$1048791,MATCH($Q54,DFD!$B$2:$B$1048791,0)),"")</f>
        <v/>
      </c>
      <c r="Y54" s="84" t="str">
        <f t="array" ref="Y54">IFERROR(INDEX(DFD!$L$2:$L$1048790,MATCH($Q54,DFD!$B$2:$B$1048790,0)),"")</f>
        <v/>
      </c>
      <c r="Z54" s="84">
        <f t="shared" si="4"/>
        <v>45</v>
      </c>
      <c r="AA54" s="59" t="s">
        <v>294</v>
      </c>
      <c r="AB54" s="59" t="s">
        <v>78</v>
      </c>
      <c r="AC54" s="59"/>
      <c r="AD54" s="85">
        <v>46043.0</v>
      </c>
      <c r="AE54" s="86">
        <f t="shared" si="2"/>
        <v>1</v>
      </c>
    </row>
    <row r="55" ht="15.75" customHeight="1">
      <c r="A55" s="92" t="s">
        <v>303</v>
      </c>
      <c r="B55" s="92" t="s">
        <v>109</v>
      </c>
      <c r="C55" s="88" t="s">
        <v>300</v>
      </c>
      <c r="D55" s="116" t="s">
        <v>51</v>
      </c>
      <c r="E55" s="116">
        <v>3.0</v>
      </c>
      <c r="F55" s="137">
        <v>10500.0</v>
      </c>
      <c r="G55" s="90" t="s">
        <v>53</v>
      </c>
      <c r="H55" s="118">
        <v>46235.0</v>
      </c>
      <c r="I55" s="92" t="s">
        <v>18</v>
      </c>
      <c r="J55" s="92" t="s">
        <v>54</v>
      </c>
      <c r="K55" s="92" t="s">
        <v>83</v>
      </c>
      <c r="L55" s="92" t="s">
        <v>56</v>
      </c>
      <c r="M55" s="90" t="s">
        <v>132</v>
      </c>
      <c r="N55" s="92" t="s">
        <v>20</v>
      </c>
      <c r="O55" s="87" t="s">
        <v>69</v>
      </c>
      <c r="P55" s="87"/>
      <c r="Q55" s="87" t="s">
        <v>291</v>
      </c>
      <c r="R55" s="93" t="s">
        <v>217</v>
      </c>
      <c r="S55" s="87"/>
      <c r="T55" s="87"/>
      <c r="U55" s="94" t="str">
        <f t="array" ref="U55">IFERROR(INDEX(DFD!$D$2:$D$1048791,MATCH($Q55,DFD!$B$2:$B$1048791,0)),"")</f>
        <v/>
      </c>
      <c r="V55" s="94" t="str">
        <f t="array" ref="V55">IFERROR(INDEX(DFD!$F$2:$F$1048791,MATCH($Q55,DFD!$B$2:$B$1048791,0)),"")</f>
        <v/>
      </c>
      <c r="W55" s="97" t="str">
        <f t="array" ref="W55">IFERROR(INDEX(DFD!$E$2:$E$1048791,MATCH($Q55,DFD!$B$2:$B$1048791,0)),"")</f>
        <v/>
      </c>
      <c r="X55" s="97" t="str">
        <f t="array" ref="X55">IFERROR(INDEX(DFD!$K$2:$K$1048791,MATCH($Q55,DFD!$B$2:$B$1048791,0)),"")</f>
        <v/>
      </c>
      <c r="Y55" s="97" t="str">
        <f t="array" ref="Y55">IFERROR(INDEX(DFD!$L$2:$L$1048790,MATCH($Q55,DFD!$B$2:$B$1048790,0)),"")</f>
        <v/>
      </c>
      <c r="Z55" s="97">
        <f t="shared" si="4"/>
        <v>45</v>
      </c>
      <c r="AA55" s="87" t="s">
        <v>294</v>
      </c>
      <c r="AB55" s="87" t="s">
        <v>78</v>
      </c>
      <c r="AC55" s="87"/>
      <c r="AD55" s="99">
        <v>46043.0</v>
      </c>
      <c r="AE55" s="100">
        <f t="shared" si="2"/>
        <v>1</v>
      </c>
    </row>
    <row r="56" ht="15.75" customHeight="1">
      <c r="A56" s="67" t="s">
        <v>304</v>
      </c>
      <c r="B56" s="67" t="s">
        <v>174</v>
      </c>
      <c r="C56" s="60" t="s">
        <v>300</v>
      </c>
      <c r="D56" s="81" t="s">
        <v>51</v>
      </c>
      <c r="E56" s="81">
        <v>2.0</v>
      </c>
      <c r="F56" s="101">
        <v>7000.0</v>
      </c>
      <c r="G56" s="73" t="s">
        <v>53</v>
      </c>
      <c r="H56" s="83">
        <v>46204.0</v>
      </c>
      <c r="I56" s="67" t="s">
        <v>18</v>
      </c>
      <c r="J56" s="67" t="s">
        <v>54</v>
      </c>
      <c r="K56" s="67" t="s">
        <v>83</v>
      </c>
      <c r="L56" s="67" t="s">
        <v>56</v>
      </c>
      <c r="M56" s="73" t="s">
        <v>132</v>
      </c>
      <c r="N56" s="67" t="s">
        <v>20</v>
      </c>
      <c r="O56" s="67" t="s">
        <v>89</v>
      </c>
      <c r="P56" s="59"/>
      <c r="Q56" s="59" t="s">
        <v>291</v>
      </c>
      <c r="R56" s="76" t="s">
        <v>217</v>
      </c>
      <c r="S56" s="59"/>
      <c r="T56" s="59"/>
      <c r="U56" s="77" t="str">
        <f t="array" ref="U56">IFERROR(INDEX(DFD!$D$2:$D$1048791,MATCH($Q56,DFD!$B$2:$B$1048791,0)),"")</f>
        <v/>
      </c>
      <c r="V56" s="77" t="str">
        <f t="array" ref="V56">IFERROR(INDEX(DFD!$F$2:$F$1048791,MATCH($Q56,DFD!$B$2:$B$1048791,0)),"")</f>
        <v/>
      </c>
      <c r="W56" s="84" t="str">
        <f t="array" ref="W56">IFERROR(INDEX(DFD!$E$2:$E$1048791,MATCH($Q56,DFD!$B$2:$B$1048791,0)),"")</f>
        <v/>
      </c>
      <c r="X56" s="84" t="str">
        <f t="array" ref="X56">IFERROR(INDEX(DFD!$K$2:$K$1048791,MATCH($Q56,DFD!$B$2:$B$1048791,0)),"")</f>
        <v/>
      </c>
      <c r="Y56" s="84" t="str">
        <f t="array" ref="Y56">IFERROR(INDEX(DFD!$L$2:$L$1048790,MATCH($Q56,DFD!$B$2:$B$1048790,0)),"")</f>
        <v/>
      </c>
      <c r="Z56" s="84">
        <f t="shared" si="4"/>
        <v>45</v>
      </c>
      <c r="AA56" s="59" t="s">
        <v>294</v>
      </c>
      <c r="AB56" s="59" t="s">
        <v>78</v>
      </c>
      <c r="AC56" s="59"/>
      <c r="AD56" s="85">
        <v>46043.0</v>
      </c>
      <c r="AE56" s="86">
        <f t="shared" si="2"/>
        <v>1</v>
      </c>
    </row>
    <row r="57" ht="15.75" customHeight="1">
      <c r="A57" s="92" t="s">
        <v>307</v>
      </c>
      <c r="B57" s="92" t="s">
        <v>105</v>
      </c>
      <c r="C57" s="88" t="s">
        <v>308</v>
      </c>
      <c r="D57" s="116" t="s">
        <v>51</v>
      </c>
      <c r="E57" s="116">
        <v>4.0</v>
      </c>
      <c r="F57" s="137">
        <v>12320.0</v>
      </c>
      <c r="G57" s="90" t="s">
        <v>53</v>
      </c>
      <c r="H57" s="118">
        <v>46235.0</v>
      </c>
      <c r="I57" s="92" t="s">
        <v>18</v>
      </c>
      <c r="J57" s="92" t="s">
        <v>54</v>
      </c>
      <c r="K57" s="92" t="s">
        <v>83</v>
      </c>
      <c r="L57" s="92" t="s">
        <v>56</v>
      </c>
      <c r="M57" s="90" t="s">
        <v>132</v>
      </c>
      <c r="N57" s="92" t="s">
        <v>20</v>
      </c>
      <c r="O57" s="87" t="s">
        <v>69</v>
      </c>
      <c r="P57" s="87"/>
      <c r="Q57" s="87" t="s">
        <v>291</v>
      </c>
      <c r="R57" s="93" t="s">
        <v>217</v>
      </c>
      <c r="S57" s="87"/>
      <c r="T57" s="87"/>
      <c r="U57" s="94" t="str">
        <f t="array" ref="U57">IFERROR(INDEX(DFD!$D$2:$D$1048791,MATCH($Q57,DFD!$B$2:$B$1048791,0)),"")</f>
        <v/>
      </c>
      <c r="V57" s="94" t="str">
        <f t="array" ref="V57">IFERROR(INDEX(DFD!$F$2:$F$1048791,MATCH($Q57,DFD!$B$2:$B$1048791,0)),"")</f>
        <v/>
      </c>
      <c r="W57" s="97" t="str">
        <f t="array" ref="W57">IFERROR(INDEX(DFD!$E$2:$E$1048791,MATCH($Q57,DFD!$B$2:$B$1048791,0)),"")</f>
        <v/>
      </c>
      <c r="X57" s="97" t="str">
        <f t="array" ref="X57">IFERROR(INDEX(DFD!$K$2:$K$1048791,MATCH($Q57,DFD!$B$2:$B$1048791,0)),"")</f>
        <v/>
      </c>
      <c r="Y57" s="97" t="str">
        <f t="array" ref="Y57">IFERROR(INDEX(DFD!$L$2:$L$1048790,MATCH($Q57,DFD!$B$2:$B$1048790,0)),"")</f>
        <v/>
      </c>
      <c r="Z57" s="97">
        <f t="shared" si="4"/>
        <v>45</v>
      </c>
      <c r="AA57" s="87" t="s">
        <v>294</v>
      </c>
      <c r="AB57" s="87" t="s">
        <v>78</v>
      </c>
      <c r="AC57" s="87"/>
      <c r="AD57" s="99">
        <v>46043.0</v>
      </c>
      <c r="AE57" s="100">
        <f t="shared" si="2"/>
        <v>1</v>
      </c>
    </row>
    <row r="58" ht="15.75" customHeight="1">
      <c r="A58" s="67" t="s">
        <v>310</v>
      </c>
      <c r="B58" s="67" t="s">
        <v>64</v>
      </c>
      <c r="C58" s="60" t="s">
        <v>308</v>
      </c>
      <c r="D58" s="81" t="s">
        <v>51</v>
      </c>
      <c r="E58" s="81">
        <v>1.0</v>
      </c>
      <c r="F58" s="101">
        <v>3080.0</v>
      </c>
      <c r="G58" s="73" t="s">
        <v>53</v>
      </c>
      <c r="H58" s="83">
        <v>46174.0</v>
      </c>
      <c r="I58" s="67" t="s">
        <v>18</v>
      </c>
      <c r="J58" s="67" t="s">
        <v>54</v>
      </c>
      <c r="K58" s="67" t="s">
        <v>83</v>
      </c>
      <c r="L58" s="67" t="s">
        <v>56</v>
      </c>
      <c r="M58" s="73" t="s">
        <v>132</v>
      </c>
      <c r="N58" s="67" t="s">
        <v>20</v>
      </c>
      <c r="O58" s="59" t="s">
        <v>69</v>
      </c>
      <c r="P58" s="59"/>
      <c r="Q58" s="59" t="s">
        <v>291</v>
      </c>
      <c r="R58" s="76" t="s">
        <v>217</v>
      </c>
      <c r="S58" s="59"/>
      <c r="T58" s="59"/>
      <c r="U58" s="77" t="str">
        <f t="array" ref="U58">IFERROR(INDEX(DFD!$D$2:$D$1048791,MATCH($Q58,DFD!$B$2:$B$1048791,0)),"")</f>
        <v/>
      </c>
      <c r="V58" s="77" t="str">
        <f t="array" ref="V58">IFERROR(INDEX(DFD!$F$2:$F$1048791,MATCH($Q58,DFD!$B$2:$B$1048791,0)),"")</f>
        <v/>
      </c>
      <c r="W58" s="84" t="str">
        <f t="array" ref="W58">IFERROR(INDEX(DFD!$E$2:$E$1048791,MATCH($Q58,DFD!$B$2:$B$1048791,0)),"")</f>
        <v/>
      </c>
      <c r="X58" s="84" t="str">
        <f t="array" ref="X58">IFERROR(INDEX(DFD!$K$2:$K$1048791,MATCH($Q58,DFD!$B$2:$B$1048791,0)),"")</f>
        <v/>
      </c>
      <c r="Y58" s="84" t="str">
        <f t="array" ref="Y58">IFERROR(INDEX(DFD!$L$2:$L$1048790,MATCH($Q58,DFD!$B$2:$B$1048790,0)),"")</f>
        <v/>
      </c>
      <c r="Z58" s="84">
        <f t="shared" si="4"/>
        <v>45</v>
      </c>
      <c r="AA58" s="59" t="s">
        <v>294</v>
      </c>
      <c r="AB58" s="59" t="s">
        <v>78</v>
      </c>
      <c r="AC58" s="59"/>
      <c r="AD58" s="85">
        <v>46043.0</v>
      </c>
      <c r="AE58" s="86">
        <f t="shared" si="2"/>
        <v>1</v>
      </c>
    </row>
    <row r="59" ht="15.75" customHeight="1">
      <c r="A59" s="92" t="s">
        <v>311</v>
      </c>
      <c r="B59" s="92" t="s">
        <v>109</v>
      </c>
      <c r="C59" s="88" t="s">
        <v>312</v>
      </c>
      <c r="D59" s="116" t="s">
        <v>51</v>
      </c>
      <c r="E59" s="116">
        <v>3.0</v>
      </c>
      <c r="F59" s="137">
        <v>15000.0</v>
      </c>
      <c r="G59" s="90" t="s">
        <v>53</v>
      </c>
      <c r="H59" s="118">
        <v>46235.0</v>
      </c>
      <c r="I59" s="92" t="s">
        <v>18</v>
      </c>
      <c r="J59" s="92" t="s">
        <v>54</v>
      </c>
      <c r="K59" s="92" t="s">
        <v>83</v>
      </c>
      <c r="L59" s="92" t="s">
        <v>56</v>
      </c>
      <c r="M59" s="90" t="s">
        <v>132</v>
      </c>
      <c r="N59" s="92" t="s">
        <v>20</v>
      </c>
      <c r="O59" s="92" t="s">
        <v>89</v>
      </c>
      <c r="P59" s="87"/>
      <c r="Q59" s="87" t="s">
        <v>291</v>
      </c>
      <c r="R59" s="93" t="s">
        <v>217</v>
      </c>
      <c r="S59" s="87"/>
      <c r="T59" s="87"/>
      <c r="U59" s="94" t="str">
        <f t="array" ref="U59">IFERROR(INDEX(DFD!$D$2:$D$1048791,MATCH($Q59,DFD!$B$2:$B$1048791,0)),"")</f>
        <v/>
      </c>
      <c r="V59" s="94" t="str">
        <f t="array" ref="V59">IFERROR(INDEX(DFD!$F$2:$F$1048791,MATCH($Q59,DFD!$B$2:$B$1048791,0)),"")</f>
        <v/>
      </c>
      <c r="W59" s="97" t="str">
        <f t="array" ref="W59">IFERROR(INDEX(DFD!$E$2:$E$1048791,MATCH($Q59,DFD!$B$2:$B$1048791,0)),"")</f>
        <v/>
      </c>
      <c r="X59" s="97" t="str">
        <f t="array" ref="X59">IFERROR(INDEX(DFD!$K$2:$K$1048791,MATCH($Q59,DFD!$B$2:$B$1048791,0)),"")</f>
        <v/>
      </c>
      <c r="Y59" s="97" t="str">
        <f t="array" ref="Y59">IFERROR(INDEX(DFD!$L$2:$L$1048790,MATCH($Q59,DFD!$B$2:$B$1048790,0)),"")</f>
        <v/>
      </c>
      <c r="Z59" s="97">
        <f t="shared" si="4"/>
        <v>45</v>
      </c>
      <c r="AA59" s="87" t="s">
        <v>294</v>
      </c>
      <c r="AB59" s="87" t="s">
        <v>78</v>
      </c>
      <c r="AC59" s="87"/>
      <c r="AD59" s="99">
        <v>46043.0</v>
      </c>
      <c r="AE59" s="100">
        <f t="shared" si="2"/>
        <v>1</v>
      </c>
    </row>
    <row r="60" ht="15.75" customHeight="1">
      <c r="A60" s="67" t="s">
        <v>314</v>
      </c>
      <c r="B60" s="67" t="s">
        <v>99</v>
      </c>
      <c r="C60" s="60" t="s">
        <v>312</v>
      </c>
      <c r="D60" s="81" t="s">
        <v>51</v>
      </c>
      <c r="E60" s="81">
        <v>2.0</v>
      </c>
      <c r="F60" s="101">
        <v>12000.0</v>
      </c>
      <c r="G60" s="73" t="s">
        <v>53</v>
      </c>
      <c r="H60" s="83">
        <v>46204.0</v>
      </c>
      <c r="I60" s="67" t="s">
        <v>18</v>
      </c>
      <c r="J60" s="67" t="s">
        <v>54</v>
      </c>
      <c r="K60" s="67" t="s">
        <v>83</v>
      </c>
      <c r="L60" s="67" t="s">
        <v>56</v>
      </c>
      <c r="M60" s="73" t="s">
        <v>132</v>
      </c>
      <c r="N60" s="67" t="s">
        <v>20</v>
      </c>
      <c r="O60" s="59" t="s">
        <v>69</v>
      </c>
      <c r="P60" s="59"/>
      <c r="Q60" s="59" t="s">
        <v>291</v>
      </c>
      <c r="R60" s="76" t="s">
        <v>217</v>
      </c>
      <c r="S60" s="59"/>
      <c r="T60" s="59"/>
      <c r="U60" s="77" t="str">
        <f t="array" ref="U60">IFERROR(INDEX(DFD!$D$2:$D$1048791,MATCH($Q60,DFD!$B$2:$B$1048791,0)),"")</f>
        <v/>
      </c>
      <c r="V60" s="77" t="str">
        <f t="array" ref="V60">IFERROR(INDEX(DFD!$F$2:$F$1048791,MATCH($Q60,DFD!$B$2:$B$1048791,0)),"")</f>
        <v/>
      </c>
      <c r="W60" s="84" t="str">
        <f t="array" ref="W60">IFERROR(INDEX(DFD!$E$2:$E$1048791,MATCH($Q60,DFD!$B$2:$B$1048791,0)),"")</f>
        <v/>
      </c>
      <c r="X60" s="84" t="str">
        <f t="array" ref="X60">IFERROR(INDEX(DFD!$K$2:$K$1048791,MATCH($Q60,DFD!$B$2:$B$1048791,0)),"")</f>
        <v/>
      </c>
      <c r="Y60" s="84" t="str">
        <f t="array" ref="Y60">IFERROR(INDEX(DFD!$L$2:$L$1048790,MATCH($Q60,DFD!$B$2:$B$1048790,0)),"")</f>
        <v/>
      </c>
      <c r="Z60" s="84">
        <f t="shared" si="4"/>
        <v>45</v>
      </c>
      <c r="AA60" s="59" t="s">
        <v>294</v>
      </c>
      <c r="AB60" s="59" t="s">
        <v>78</v>
      </c>
      <c r="AC60" s="59"/>
      <c r="AD60" s="85">
        <v>46043.0</v>
      </c>
      <c r="AE60" s="86">
        <f t="shared" si="2"/>
        <v>1</v>
      </c>
    </row>
    <row r="61" ht="15.75" customHeight="1">
      <c r="A61" s="92" t="s">
        <v>315</v>
      </c>
      <c r="B61" s="92" t="s">
        <v>87</v>
      </c>
      <c r="C61" s="88" t="s">
        <v>316</v>
      </c>
      <c r="D61" s="116" t="s">
        <v>51</v>
      </c>
      <c r="E61" s="116">
        <v>2.0</v>
      </c>
      <c r="F61" s="137">
        <v>16200.0</v>
      </c>
      <c r="G61" s="90" t="s">
        <v>53</v>
      </c>
      <c r="H61" s="118">
        <v>46235.0</v>
      </c>
      <c r="I61" s="92" t="s">
        <v>18</v>
      </c>
      <c r="J61" s="92" t="s">
        <v>54</v>
      </c>
      <c r="K61" s="92" t="s">
        <v>83</v>
      </c>
      <c r="L61" s="92" t="s">
        <v>56</v>
      </c>
      <c r="M61" s="90" t="s">
        <v>132</v>
      </c>
      <c r="N61" s="92" t="s">
        <v>20</v>
      </c>
      <c r="O61" s="87" t="s">
        <v>69</v>
      </c>
      <c r="P61" s="87"/>
      <c r="Q61" s="87" t="s">
        <v>291</v>
      </c>
      <c r="R61" s="93" t="s">
        <v>217</v>
      </c>
      <c r="S61" s="87"/>
      <c r="T61" s="87"/>
      <c r="U61" s="94" t="str">
        <f t="array" ref="U61">IFERROR(INDEX(DFD!$D$2:$D$1048791,MATCH($Q61,DFD!$B$2:$B$1048791,0)),"")</f>
        <v/>
      </c>
      <c r="V61" s="94" t="str">
        <f t="array" ref="V61">IFERROR(INDEX(DFD!$F$2:$F$1048791,MATCH($Q61,DFD!$B$2:$B$1048791,0)),"")</f>
        <v/>
      </c>
      <c r="W61" s="97" t="str">
        <f t="array" ref="W61">IFERROR(INDEX(DFD!$E$2:$E$1048791,MATCH($Q61,DFD!$B$2:$B$1048791,0)),"")</f>
        <v/>
      </c>
      <c r="X61" s="97" t="str">
        <f t="array" ref="X61">IFERROR(INDEX(DFD!$K$2:$K$1048791,MATCH($Q61,DFD!$B$2:$B$1048791,0)),"")</f>
        <v/>
      </c>
      <c r="Y61" s="97" t="str">
        <f t="array" ref="Y61">IFERROR(INDEX(DFD!$L$2:$L$1048790,MATCH($Q61,DFD!$B$2:$B$1048790,0)),"")</f>
        <v/>
      </c>
      <c r="Z61" s="97">
        <f t="shared" si="4"/>
        <v>45</v>
      </c>
      <c r="AA61" s="87" t="s">
        <v>294</v>
      </c>
      <c r="AB61" s="87" t="s">
        <v>78</v>
      </c>
      <c r="AC61" s="87"/>
      <c r="AD61" s="99">
        <v>46043.0</v>
      </c>
      <c r="AE61" s="100">
        <f t="shared" si="2"/>
        <v>1</v>
      </c>
    </row>
    <row r="62" ht="15.75" customHeight="1">
      <c r="A62" s="67" t="s">
        <v>318</v>
      </c>
      <c r="B62" s="67" t="s">
        <v>95</v>
      </c>
      <c r="C62" s="60" t="s">
        <v>316</v>
      </c>
      <c r="D62" s="81" t="s">
        <v>51</v>
      </c>
      <c r="E62" s="81">
        <v>1.0</v>
      </c>
      <c r="F62" s="101">
        <v>8100.0</v>
      </c>
      <c r="G62" s="73" t="s">
        <v>53</v>
      </c>
      <c r="H62" s="83">
        <v>46204.0</v>
      </c>
      <c r="I62" s="67" t="s">
        <v>18</v>
      </c>
      <c r="J62" s="67" t="s">
        <v>54</v>
      </c>
      <c r="K62" s="67" t="s">
        <v>83</v>
      </c>
      <c r="L62" s="67" t="s">
        <v>56</v>
      </c>
      <c r="M62" s="73" t="s">
        <v>132</v>
      </c>
      <c r="N62" s="67" t="s">
        <v>20</v>
      </c>
      <c r="O62" s="67" t="s">
        <v>89</v>
      </c>
      <c r="P62" s="59"/>
      <c r="Q62" s="59" t="s">
        <v>291</v>
      </c>
      <c r="R62" s="76" t="s">
        <v>217</v>
      </c>
      <c r="S62" s="59"/>
      <c r="T62" s="59"/>
      <c r="U62" s="77" t="str">
        <f t="array" ref="U62">IFERROR(INDEX(DFD!$D$2:$D$1048791,MATCH($Q62,DFD!$B$2:$B$1048791,0)),"")</f>
        <v/>
      </c>
      <c r="V62" s="77" t="str">
        <f t="array" ref="V62">IFERROR(INDEX(DFD!$F$2:$F$1048791,MATCH($Q62,DFD!$B$2:$B$1048791,0)),"")</f>
        <v/>
      </c>
      <c r="W62" s="84" t="str">
        <f t="array" ref="W62">IFERROR(INDEX(DFD!$E$2:$E$1048791,MATCH($Q62,DFD!$B$2:$B$1048791,0)),"")</f>
        <v/>
      </c>
      <c r="X62" s="84" t="str">
        <f t="array" ref="X62">IFERROR(INDEX(DFD!$K$2:$K$1048791,MATCH($Q62,DFD!$B$2:$B$1048791,0)),"")</f>
        <v/>
      </c>
      <c r="Y62" s="84" t="str">
        <f t="array" ref="Y62">IFERROR(INDEX(DFD!$L$2:$L$1048790,MATCH($Q62,DFD!$B$2:$B$1048790,0)),"")</f>
        <v/>
      </c>
      <c r="Z62" s="84">
        <f t="shared" si="4"/>
        <v>45</v>
      </c>
      <c r="AA62" s="59" t="s">
        <v>294</v>
      </c>
      <c r="AB62" s="59" t="s">
        <v>78</v>
      </c>
      <c r="AC62" s="59"/>
      <c r="AD62" s="85">
        <v>46043.0</v>
      </c>
      <c r="AE62" s="86">
        <f t="shared" si="2"/>
        <v>1</v>
      </c>
    </row>
    <row r="63" ht="15.75" customHeight="1">
      <c r="A63" s="92" t="s">
        <v>320</v>
      </c>
      <c r="B63" s="92" t="s">
        <v>107</v>
      </c>
      <c r="C63" s="88" t="s">
        <v>321</v>
      </c>
      <c r="D63" s="116" t="s">
        <v>51</v>
      </c>
      <c r="E63" s="116">
        <v>2.0</v>
      </c>
      <c r="F63" s="137">
        <v>7000.0</v>
      </c>
      <c r="G63" s="90" t="s">
        <v>53</v>
      </c>
      <c r="H63" s="118">
        <v>46204.0</v>
      </c>
      <c r="I63" s="92" t="s">
        <v>18</v>
      </c>
      <c r="J63" s="92" t="s">
        <v>54</v>
      </c>
      <c r="K63" s="92" t="s">
        <v>83</v>
      </c>
      <c r="L63" s="92" t="s">
        <v>56</v>
      </c>
      <c r="M63" s="90" t="s">
        <v>132</v>
      </c>
      <c r="N63" s="92" t="s">
        <v>20</v>
      </c>
      <c r="O63" s="87" t="s">
        <v>69</v>
      </c>
      <c r="P63" s="87"/>
      <c r="Q63" s="87" t="s">
        <v>291</v>
      </c>
      <c r="R63" s="93" t="s">
        <v>217</v>
      </c>
      <c r="S63" s="87"/>
      <c r="T63" s="87"/>
      <c r="U63" s="94" t="str">
        <f t="array" ref="U63">IFERROR(INDEX(DFD!$D$2:$D$1048791,MATCH($Q63,DFD!$B$2:$B$1048791,0)),"")</f>
        <v/>
      </c>
      <c r="V63" s="94" t="str">
        <f t="array" ref="V63">IFERROR(INDEX(DFD!$F$2:$F$1048791,MATCH($Q63,DFD!$B$2:$B$1048791,0)),"")</f>
        <v/>
      </c>
      <c r="W63" s="97" t="str">
        <f t="array" ref="W63">IFERROR(INDEX(DFD!$E$2:$E$1048791,MATCH($Q63,DFD!$B$2:$B$1048791,0)),"")</f>
        <v/>
      </c>
      <c r="X63" s="97" t="str">
        <f t="array" ref="X63">IFERROR(INDEX(DFD!$K$2:$K$1048791,MATCH($Q63,DFD!$B$2:$B$1048791,0)),"")</f>
        <v/>
      </c>
      <c r="Y63" s="97" t="str">
        <f t="array" ref="Y63">IFERROR(INDEX(DFD!$L$2:$L$1048790,MATCH($Q63,DFD!$B$2:$B$1048790,0)),"")</f>
        <v/>
      </c>
      <c r="Z63" s="97">
        <f t="shared" si="4"/>
        <v>45</v>
      </c>
      <c r="AA63" s="87" t="s">
        <v>294</v>
      </c>
      <c r="AB63" s="87" t="s">
        <v>78</v>
      </c>
      <c r="AC63" s="87"/>
      <c r="AD63" s="99">
        <v>46043.0</v>
      </c>
      <c r="AE63" s="100">
        <f t="shared" si="2"/>
        <v>1</v>
      </c>
    </row>
    <row r="64" ht="15.75" customHeight="1">
      <c r="A64" s="59" t="s">
        <v>324</v>
      </c>
      <c r="B64" s="59" t="s">
        <v>92</v>
      </c>
      <c r="C64" s="60" t="s">
        <v>325</v>
      </c>
      <c r="D64" s="60" t="s">
        <v>51</v>
      </c>
      <c r="E64" s="60">
        <v>1.0</v>
      </c>
      <c r="F64" s="72">
        <v>5000.0</v>
      </c>
      <c r="G64" s="73" t="s">
        <v>53</v>
      </c>
      <c r="H64" s="74">
        <v>46204.0</v>
      </c>
      <c r="I64" s="67" t="s">
        <v>17</v>
      </c>
      <c r="J64" s="67" t="s">
        <v>54</v>
      </c>
      <c r="K64" s="67" t="s">
        <v>66</v>
      </c>
      <c r="L64" s="67" t="s">
        <v>67</v>
      </c>
      <c r="M64" s="73" t="s">
        <v>68</v>
      </c>
      <c r="N64" s="67" t="s">
        <v>5</v>
      </c>
      <c r="O64" s="59" t="s">
        <v>69</v>
      </c>
      <c r="P64" s="59"/>
      <c r="Q64" s="59" t="s">
        <v>326</v>
      </c>
      <c r="R64" s="76" t="s">
        <v>71</v>
      </c>
      <c r="S64" s="59"/>
      <c r="T64" s="59"/>
      <c r="U64" s="77" t="str">
        <f t="array" ref="U64">IFERROR(INDEX(DFD!$D$2:$D$1048791,MATCH($Q64,DFD!$B$2:$B$1048791,0)),"")</f>
        <v/>
      </c>
      <c r="V64" s="77" t="s">
        <v>280</v>
      </c>
      <c r="W64" s="84" t="str">
        <f t="array" ref="W64">IFERROR(INDEX(DFD!$E$2:$E$1048791,MATCH($Q64,DFD!$B$2:$B$1048791,0)),"")</f>
        <v/>
      </c>
      <c r="X64" s="84" t="str">
        <f t="array" ref="X64">IFERROR(INDEX(DFD!$K$2:$K$1048791,MATCH($Q64,DFD!$B$2:$B$1048791,0)),"")</f>
        <v/>
      </c>
      <c r="Y64" s="84" t="str">
        <f t="array" ref="Y64">IFERROR(INDEX(DFD!$L$2:$L$1048790,MATCH($Q64,DFD!$B$2:$B$1048790,0)),"")</f>
        <v/>
      </c>
      <c r="Z64" s="84">
        <f t="shared" si="4"/>
        <v>45</v>
      </c>
      <c r="AA64" s="59"/>
      <c r="AB64" s="59" t="s">
        <v>78</v>
      </c>
      <c r="AC64" s="59"/>
      <c r="AD64" s="85">
        <v>46043.0</v>
      </c>
      <c r="AE64" s="86">
        <f t="shared" si="2"/>
        <v>1</v>
      </c>
    </row>
    <row r="65" ht="15.75" customHeight="1">
      <c r="A65" s="87" t="s">
        <v>328</v>
      </c>
      <c r="B65" s="87" t="s">
        <v>148</v>
      </c>
      <c r="C65" s="88" t="s">
        <v>329</v>
      </c>
      <c r="D65" s="88" t="s">
        <v>51</v>
      </c>
      <c r="E65" s="88">
        <v>6.0</v>
      </c>
      <c r="F65" s="89">
        <v>294.0</v>
      </c>
      <c r="G65" s="90" t="s">
        <v>53</v>
      </c>
      <c r="H65" s="91">
        <v>46174.0</v>
      </c>
      <c r="I65" s="92" t="s">
        <v>17</v>
      </c>
      <c r="J65" s="92" t="s">
        <v>54</v>
      </c>
      <c r="K65" s="92" t="s">
        <v>66</v>
      </c>
      <c r="L65" s="92" t="s">
        <v>67</v>
      </c>
      <c r="M65" s="90" t="s">
        <v>112</v>
      </c>
      <c r="N65" s="92" t="s">
        <v>5</v>
      </c>
      <c r="O65" s="92" t="s">
        <v>89</v>
      </c>
      <c r="P65" s="87"/>
      <c r="Q65" s="87" t="s">
        <v>331</v>
      </c>
      <c r="R65" s="93" t="s">
        <v>269</v>
      </c>
      <c r="S65" s="87"/>
      <c r="T65" s="87"/>
      <c r="U65" s="94" t="str">
        <f t="array" ref="U65">IFERROR(INDEX(DFD!$D$2:$D$1048791,MATCH($Q65,DFD!$B$2:$B$1048791,0)),"")</f>
        <v/>
      </c>
      <c r="V65" s="94" t="str">
        <f t="array" ref="V65">IFERROR(INDEX(DFD!$F$2:$F$1048791,MATCH($Q65,DFD!$B$2:$B$1048791,0)),"")</f>
        <v/>
      </c>
      <c r="W65" s="97" t="str">
        <f t="array" ref="W65">IFERROR(INDEX(DFD!$E$2:$E$1048791,MATCH($Q65,DFD!$B$2:$B$1048791,0)),"")</f>
        <v/>
      </c>
      <c r="X65" s="97" t="str">
        <f t="array" ref="X65">IFERROR(INDEX(DFD!$K$2:$K$1048791,MATCH($Q65,DFD!$B$2:$B$1048791,0)),"")</f>
        <v/>
      </c>
      <c r="Y65" s="97" t="str">
        <f t="array" ref="Y65">IFERROR(INDEX(DFD!$L$2:$L$1048790,MATCH($Q65,DFD!$B$2:$B$1048790,0)),"")</f>
        <v/>
      </c>
      <c r="Z65" s="97">
        <f t="shared" si="4"/>
        <v>45</v>
      </c>
      <c r="AA65" s="87"/>
      <c r="AB65" s="87" t="s">
        <v>78</v>
      </c>
      <c r="AC65" s="87"/>
      <c r="AD65" s="99">
        <v>46043.0</v>
      </c>
      <c r="AE65" s="100">
        <f t="shared" si="2"/>
        <v>1</v>
      </c>
    </row>
    <row r="66" ht="15.75" customHeight="1">
      <c r="A66" s="59" t="s">
        <v>333</v>
      </c>
      <c r="B66" s="59" t="s">
        <v>148</v>
      </c>
      <c r="C66" s="60" t="s">
        <v>334</v>
      </c>
      <c r="D66" s="60" t="s">
        <v>51</v>
      </c>
      <c r="E66" s="60">
        <v>6.0</v>
      </c>
      <c r="F66" s="72">
        <v>257.82</v>
      </c>
      <c r="G66" s="73" t="s">
        <v>53</v>
      </c>
      <c r="H66" s="74">
        <v>46143.0</v>
      </c>
      <c r="I66" s="67" t="s">
        <v>17</v>
      </c>
      <c r="J66" s="67" t="s">
        <v>54</v>
      </c>
      <c r="K66" s="67" t="s">
        <v>66</v>
      </c>
      <c r="L66" s="67" t="s">
        <v>67</v>
      </c>
      <c r="M66" s="73" t="s">
        <v>112</v>
      </c>
      <c r="N66" s="67" t="s">
        <v>5</v>
      </c>
      <c r="O66" s="59" t="s">
        <v>69</v>
      </c>
      <c r="P66" s="59"/>
      <c r="Q66" s="59" t="s">
        <v>331</v>
      </c>
      <c r="R66" s="76" t="s">
        <v>269</v>
      </c>
      <c r="S66" s="59"/>
      <c r="T66" s="59"/>
      <c r="U66" s="77" t="str">
        <f t="array" ref="U66">IFERROR(INDEX(DFD!$D$2:$D$1048791,MATCH($Q66,DFD!$B$2:$B$1048791,0)),"")</f>
        <v/>
      </c>
      <c r="V66" s="77" t="str">
        <f t="array" ref="V66">IFERROR(INDEX(DFD!$F$2:$F$1048791,MATCH($Q66,DFD!$B$2:$B$1048791,0)),"")</f>
        <v/>
      </c>
      <c r="W66" s="84" t="str">
        <f t="array" ref="W66">IFERROR(INDEX(DFD!$E$2:$E$1048791,MATCH($Q66,DFD!$B$2:$B$1048791,0)),"")</f>
        <v/>
      </c>
      <c r="X66" s="84" t="str">
        <f t="array" ref="X66">IFERROR(INDEX(DFD!$K$2:$K$1048791,MATCH($Q66,DFD!$B$2:$B$1048791,0)),"")</f>
        <v/>
      </c>
      <c r="Y66" s="84" t="str">
        <f t="array" ref="Y66">IFERROR(INDEX(DFD!$L$2:$L$1048790,MATCH($Q66,DFD!$B$2:$B$1048790,0)),"")</f>
        <v/>
      </c>
      <c r="Z66" s="84">
        <f t="shared" si="4"/>
        <v>45</v>
      </c>
      <c r="AA66" s="59"/>
      <c r="AB66" s="59" t="s">
        <v>78</v>
      </c>
      <c r="AC66" s="59"/>
      <c r="AD66" s="85">
        <v>46043.0</v>
      </c>
      <c r="AE66" s="86">
        <f t="shared" si="2"/>
        <v>1</v>
      </c>
    </row>
    <row r="67" ht="15.75" customHeight="1">
      <c r="A67" s="87" t="s">
        <v>339</v>
      </c>
      <c r="B67" s="87" t="s">
        <v>101</v>
      </c>
      <c r="C67" s="88" t="s">
        <v>340</v>
      </c>
      <c r="D67" s="88" t="s">
        <v>51</v>
      </c>
      <c r="E67" s="88">
        <v>10.0</v>
      </c>
      <c r="F67" s="89">
        <v>1000.0</v>
      </c>
      <c r="G67" s="90" t="s">
        <v>53</v>
      </c>
      <c r="H67" s="91">
        <v>46174.0</v>
      </c>
      <c r="I67" s="92" t="s">
        <v>17</v>
      </c>
      <c r="J67" s="92" t="s">
        <v>54</v>
      </c>
      <c r="K67" s="92" t="s">
        <v>66</v>
      </c>
      <c r="L67" s="92" t="s">
        <v>56</v>
      </c>
      <c r="M67" s="90" t="s">
        <v>112</v>
      </c>
      <c r="N67" s="92" t="s">
        <v>58</v>
      </c>
      <c r="O67" s="87" t="s">
        <v>69</v>
      </c>
      <c r="P67" s="87"/>
      <c r="Q67" s="87" t="s">
        <v>342</v>
      </c>
      <c r="R67" s="93" t="s">
        <v>269</v>
      </c>
      <c r="S67" s="87"/>
      <c r="T67" s="87"/>
      <c r="U67" s="94" t="str">
        <f t="array" ref="U67">IFERROR(INDEX(DFD!$D$2:$D$1048791,MATCH($Q67,DFD!$B$2:$B$1048791,0)),"")</f>
        <v/>
      </c>
      <c r="V67" s="94" t="str">
        <f t="array" ref="V67">IFERROR(INDEX(DFD!$F$2:$F$1048791,MATCH($Q67,DFD!$B$2:$B$1048791,0)),"")</f>
        <v/>
      </c>
      <c r="W67" s="97" t="str">
        <f t="array" ref="W67">IFERROR(INDEX(DFD!$E$2:$E$1048791,MATCH($Q67,DFD!$B$2:$B$1048791,0)),"")</f>
        <v/>
      </c>
      <c r="X67" s="97" t="str">
        <f t="array" ref="X67">IFERROR(INDEX(DFD!$K$2:$K$1048791,MATCH($Q67,DFD!$B$2:$B$1048791,0)),"")</f>
        <v/>
      </c>
      <c r="Y67" s="97" t="str">
        <f t="array" ref="Y67">IFERROR(INDEX(DFD!$L$2:$L$1048790,MATCH($Q67,DFD!$B$2:$B$1048790,0)),"")</f>
        <v/>
      </c>
      <c r="Z67" s="97">
        <f t="shared" si="4"/>
        <v>45</v>
      </c>
      <c r="AA67" s="87"/>
      <c r="AB67" s="87" t="s">
        <v>78</v>
      </c>
      <c r="AC67" s="87"/>
      <c r="AD67" s="99">
        <v>46043.0</v>
      </c>
      <c r="AE67" s="100">
        <f t="shared" si="2"/>
        <v>1</v>
      </c>
    </row>
    <row r="68" ht="15.75" customHeight="1">
      <c r="A68" s="59" t="s">
        <v>345</v>
      </c>
      <c r="B68" s="59" t="s">
        <v>148</v>
      </c>
      <c r="C68" s="60" t="s">
        <v>346</v>
      </c>
      <c r="D68" s="60" t="s">
        <v>51</v>
      </c>
      <c r="E68" s="60">
        <v>3.0</v>
      </c>
      <c r="F68" s="72">
        <v>1333.32</v>
      </c>
      <c r="G68" s="73" t="s">
        <v>53</v>
      </c>
      <c r="H68" s="74">
        <v>46174.0</v>
      </c>
      <c r="I68" s="67" t="s">
        <v>17</v>
      </c>
      <c r="J68" s="67" t="s">
        <v>54</v>
      </c>
      <c r="K68" s="67" t="s">
        <v>66</v>
      </c>
      <c r="L68" s="67" t="s">
        <v>67</v>
      </c>
      <c r="M68" s="73" t="s">
        <v>112</v>
      </c>
      <c r="N68" s="67" t="s">
        <v>5</v>
      </c>
      <c r="O68" s="67" t="s">
        <v>89</v>
      </c>
      <c r="P68" s="59"/>
      <c r="Q68" s="59" t="s">
        <v>331</v>
      </c>
      <c r="R68" s="76" t="s">
        <v>269</v>
      </c>
      <c r="S68" s="59"/>
      <c r="T68" s="59"/>
      <c r="U68" s="77" t="str">
        <f t="array" ref="U68">IFERROR(INDEX(DFD!$D$2:$D$1048791,MATCH($Q68,DFD!$B$2:$B$1048791,0)),"")</f>
        <v/>
      </c>
      <c r="V68" s="77" t="str">
        <f t="array" ref="V68">IFERROR(INDEX(DFD!$F$2:$F$1048791,MATCH($Q68,DFD!$B$2:$B$1048791,0)),"")</f>
        <v/>
      </c>
      <c r="W68" s="84" t="str">
        <f t="array" ref="W68">IFERROR(INDEX(DFD!$E$2:$E$1048791,MATCH($Q68,DFD!$B$2:$B$1048791,0)),"")</f>
        <v/>
      </c>
      <c r="X68" s="84" t="str">
        <f t="array" ref="X68">IFERROR(INDEX(DFD!$K$2:$K$1048791,MATCH($Q68,DFD!$B$2:$B$1048791,0)),"")</f>
        <v/>
      </c>
      <c r="Y68" s="84" t="str">
        <f t="array" ref="Y68">IFERROR(INDEX(DFD!$L$2:$L$1048790,MATCH($Q68,DFD!$B$2:$B$1048790,0)),"")</f>
        <v/>
      </c>
      <c r="Z68" s="84">
        <f t="shared" si="4"/>
        <v>45</v>
      </c>
      <c r="AA68" s="59"/>
      <c r="AB68" s="59" t="s">
        <v>78</v>
      </c>
      <c r="AC68" s="59"/>
      <c r="AD68" s="85">
        <v>46043.0</v>
      </c>
      <c r="AE68" s="86">
        <f t="shared" si="2"/>
        <v>1</v>
      </c>
    </row>
    <row r="69" ht="15.75" customHeight="1">
      <c r="A69" s="87" t="s">
        <v>349</v>
      </c>
      <c r="B69" s="87" t="s">
        <v>101</v>
      </c>
      <c r="C69" s="88" t="s">
        <v>350</v>
      </c>
      <c r="D69" s="88" t="s">
        <v>51</v>
      </c>
      <c r="E69" s="88">
        <v>60.0</v>
      </c>
      <c r="F69" s="89">
        <v>2400.0</v>
      </c>
      <c r="G69" s="90" t="s">
        <v>53</v>
      </c>
      <c r="H69" s="91">
        <v>46174.0</v>
      </c>
      <c r="I69" s="92" t="s">
        <v>17</v>
      </c>
      <c r="J69" s="92" t="s">
        <v>54</v>
      </c>
      <c r="K69" s="92" t="s">
        <v>66</v>
      </c>
      <c r="L69" s="92" t="s">
        <v>56</v>
      </c>
      <c r="M69" s="90" t="s">
        <v>132</v>
      </c>
      <c r="N69" s="92" t="s">
        <v>58</v>
      </c>
      <c r="O69" s="87" t="s">
        <v>69</v>
      </c>
      <c r="P69" s="87"/>
      <c r="Q69" s="87" t="s">
        <v>351</v>
      </c>
      <c r="R69" s="93" t="s">
        <v>71</v>
      </c>
      <c r="S69" s="87"/>
      <c r="T69" s="87"/>
      <c r="U69" s="94" t="str">
        <f t="array" ref="U69">IFERROR(INDEX(DFD!$D$2:$D$1048791,MATCH($Q69,DFD!$B$2:$B$1048791,0)),"")</f>
        <v/>
      </c>
      <c r="V69" s="94" t="s">
        <v>280</v>
      </c>
      <c r="W69" s="97" t="str">
        <f t="array" ref="W69">IFERROR(INDEX(DFD!$E$2:$E$1048791,MATCH($Q69,DFD!$B$2:$B$1048791,0)),"")</f>
        <v/>
      </c>
      <c r="X69" s="97" t="str">
        <f t="array" ref="X69">IFERROR(INDEX(DFD!$K$2:$K$1048791,MATCH($Q69,DFD!$B$2:$B$1048791,0)),"")</f>
        <v/>
      </c>
      <c r="Y69" s="97" t="str">
        <f t="array" ref="Y69">IFERROR(INDEX(DFD!$L$2:$L$1048790,MATCH($Q69,DFD!$B$2:$B$1048790,0)),"")</f>
        <v/>
      </c>
      <c r="Z69" s="97">
        <f t="shared" si="4"/>
        <v>45</v>
      </c>
      <c r="AA69" s="87"/>
      <c r="AB69" s="87" t="s">
        <v>78</v>
      </c>
      <c r="AC69" s="87"/>
      <c r="AD69" s="99">
        <v>46043.0</v>
      </c>
      <c r="AE69" s="100">
        <f t="shared" si="2"/>
        <v>1</v>
      </c>
    </row>
    <row r="70" ht="15.75" customHeight="1">
      <c r="A70" s="59" t="s">
        <v>352</v>
      </c>
      <c r="B70" s="59" t="s">
        <v>80</v>
      </c>
      <c r="C70" s="60" t="s">
        <v>350</v>
      </c>
      <c r="D70" s="60" t="s">
        <v>51</v>
      </c>
      <c r="E70" s="60">
        <v>10.0</v>
      </c>
      <c r="F70" s="72">
        <v>400.0</v>
      </c>
      <c r="G70" s="73" t="s">
        <v>53</v>
      </c>
      <c r="H70" s="74">
        <v>46174.0</v>
      </c>
      <c r="I70" s="67" t="s">
        <v>17</v>
      </c>
      <c r="J70" s="67" t="s">
        <v>54</v>
      </c>
      <c r="K70" s="67" t="s">
        <v>66</v>
      </c>
      <c r="L70" s="67" t="s">
        <v>67</v>
      </c>
      <c r="M70" s="73" t="s">
        <v>112</v>
      </c>
      <c r="N70" s="67" t="s">
        <v>5</v>
      </c>
      <c r="O70" s="59" t="s">
        <v>69</v>
      </c>
      <c r="P70" s="59"/>
      <c r="Q70" s="59" t="s">
        <v>351</v>
      </c>
      <c r="R70" s="76" t="s">
        <v>71</v>
      </c>
      <c r="S70" s="59"/>
      <c r="T70" s="59"/>
      <c r="U70" s="77" t="str">
        <f t="array" ref="U70">IFERROR(INDEX(DFD!$D$2:$D$1048791,MATCH($Q70,DFD!$B$2:$B$1048791,0)),"")</f>
        <v/>
      </c>
      <c r="V70" s="77" t="s">
        <v>280</v>
      </c>
      <c r="W70" s="84" t="str">
        <f t="array" ref="W70">IFERROR(INDEX(DFD!$E$2:$E$1048791,MATCH($Q70,DFD!$B$2:$B$1048791,0)),"")</f>
        <v/>
      </c>
      <c r="X70" s="84" t="str">
        <f t="array" ref="X70">IFERROR(INDEX(DFD!$K$2:$K$1048791,MATCH($Q70,DFD!$B$2:$B$1048791,0)),"")</f>
        <v/>
      </c>
      <c r="Y70" s="84" t="str">
        <f t="array" ref="Y70">IFERROR(INDEX(DFD!$L$2:$L$1048790,MATCH($Q70,DFD!$B$2:$B$1048790,0)),"")</f>
        <v/>
      </c>
      <c r="Z70" s="84">
        <f t="shared" si="4"/>
        <v>45</v>
      </c>
      <c r="AA70" s="59"/>
      <c r="AB70" s="59" t="s">
        <v>78</v>
      </c>
      <c r="AC70" s="59"/>
      <c r="AD70" s="85">
        <v>46043.0</v>
      </c>
      <c r="AE70" s="86">
        <f t="shared" si="2"/>
        <v>1</v>
      </c>
    </row>
    <row r="71" ht="15.75" customHeight="1">
      <c r="A71" s="87" t="s">
        <v>353</v>
      </c>
      <c r="B71" s="87" t="s">
        <v>92</v>
      </c>
      <c r="C71" s="88" t="s">
        <v>350</v>
      </c>
      <c r="D71" s="88" t="s">
        <v>51</v>
      </c>
      <c r="E71" s="88">
        <v>10.0</v>
      </c>
      <c r="F71" s="89">
        <v>400.0</v>
      </c>
      <c r="G71" s="90" t="s">
        <v>53</v>
      </c>
      <c r="H71" s="91">
        <v>46174.0</v>
      </c>
      <c r="I71" s="92" t="s">
        <v>17</v>
      </c>
      <c r="J71" s="92" t="s">
        <v>54</v>
      </c>
      <c r="K71" s="92" t="s">
        <v>66</v>
      </c>
      <c r="L71" s="92" t="s">
        <v>67</v>
      </c>
      <c r="M71" s="90" t="s">
        <v>112</v>
      </c>
      <c r="N71" s="92" t="s">
        <v>5</v>
      </c>
      <c r="O71" s="92" t="s">
        <v>89</v>
      </c>
      <c r="P71" s="87"/>
      <c r="Q71" s="87" t="s">
        <v>351</v>
      </c>
      <c r="R71" s="93" t="s">
        <v>71</v>
      </c>
      <c r="S71" s="87"/>
      <c r="T71" s="87"/>
      <c r="U71" s="94" t="str">
        <f t="array" ref="U71">IFERROR(INDEX(DFD!$D$2:$D$1048791,MATCH($Q71,DFD!$B$2:$B$1048791,0)),"")</f>
        <v/>
      </c>
      <c r="V71" s="94" t="s">
        <v>280</v>
      </c>
      <c r="W71" s="97" t="str">
        <f t="array" ref="W71">IFERROR(INDEX(DFD!$E$2:$E$1048791,MATCH($Q71,DFD!$B$2:$B$1048791,0)),"")</f>
        <v/>
      </c>
      <c r="X71" s="97" t="str">
        <f t="array" ref="X71">IFERROR(INDEX(DFD!$K$2:$K$1048791,MATCH($Q71,DFD!$B$2:$B$1048791,0)),"")</f>
        <v/>
      </c>
      <c r="Y71" s="97" t="str">
        <f t="array" ref="Y71">IFERROR(INDEX(DFD!$L$2:$L$1048790,MATCH($Q71,DFD!$B$2:$B$1048790,0)),"")</f>
        <v/>
      </c>
      <c r="Z71" s="97">
        <f t="shared" si="4"/>
        <v>45</v>
      </c>
      <c r="AA71" s="87"/>
      <c r="AB71" s="87" t="s">
        <v>78</v>
      </c>
      <c r="AC71" s="87"/>
      <c r="AD71" s="99">
        <v>46043.0</v>
      </c>
      <c r="AE71" s="100">
        <f t="shared" si="2"/>
        <v>1</v>
      </c>
    </row>
    <row r="72" ht="15.75" customHeight="1">
      <c r="A72" s="59" t="s">
        <v>354</v>
      </c>
      <c r="B72" s="59" t="s">
        <v>355</v>
      </c>
      <c r="C72" s="60" t="s">
        <v>350</v>
      </c>
      <c r="D72" s="60" t="s">
        <v>51</v>
      </c>
      <c r="E72" s="60">
        <v>50.0</v>
      </c>
      <c r="F72" s="72">
        <v>2000.0</v>
      </c>
      <c r="G72" s="73" t="s">
        <v>53</v>
      </c>
      <c r="H72" s="74">
        <v>46174.0</v>
      </c>
      <c r="I72" s="67" t="s">
        <v>17</v>
      </c>
      <c r="J72" s="67" t="s">
        <v>54</v>
      </c>
      <c r="K72" s="67" t="s">
        <v>66</v>
      </c>
      <c r="L72" s="67" t="s">
        <v>56</v>
      </c>
      <c r="M72" s="73" t="s">
        <v>112</v>
      </c>
      <c r="N72" s="67" t="s">
        <v>58</v>
      </c>
      <c r="O72" s="59" t="s">
        <v>69</v>
      </c>
      <c r="P72" s="59"/>
      <c r="Q72" s="59" t="s">
        <v>52</v>
      </c>
      <c r="R72" s="76" t="s">
        <v>71</v>
      </c>
      <c r="S72" s="59"/>
      <c r="T72" s="59"/>
      <c r="U72" s="77" t="str">
        <f t="array" ref="U72">IFERROR(INDEX(DFD!$D$2:$D$1048791,MATCH($Q72,DFD!$B$2:$B$1048791,0)),"")</f>
        <v/>
      </c>
      <c r="V72" s="77" t="str">
        <f t="array" ref="V72">IFERROR(INDEX(DFD!$F$2:$F$1048791,MATCH($Q72,DFD!$B$2:$B$1048791,0)),"")</f>
        <v/>
      </c>
      <c r="W72" s="84" t="str">
        <f t="array" ref="W72">IFERROR(INDEX(DFD!$E$2:$E$1048791,MATCH($Q72,DFD!$B$2:$B$1048791,0)),"")</f>
        <v/>
      </c>
      <c r="X72" s="84" t="str">
        <f t="array" ref="X72">IFERROR(INDEX(DFD!$K$2:$K$1048791,MATCH($Q72,DFD!$B$2:$B$1048791,0)),"")</f>
        <v/>
      </c>
      <c r="Y72" s="84" t="str">
        <f t="array" ref="Y72">IFERROR(INDEX(DFD!$L$2:$L$1048790,MATCH($Q72,DFD!$B$2:$B$1048790,0)),"")</f>
        <v/>
      </c>
      <c r="Z72" s="84">
        <f t="shared" si="4"/>
        <v>45</v>
      </c>
      <c r="AA72" s="59"/>
      <c r="AB72" s="59" t="s">
        <v>72</v>
      </c>
      <c r="AC72" s="59"/>
      <c r="AD72" s="85">
        <v>46043.0</v>
      </c>
      <c r="AE72" s="86">
        <f t="shared" si="2"/>
        <v>1</v>
      </c>
    </row>
    <row r="73" ht="15.75" customHeight="1">
      <c r="A73" s="92" t="s">
        <v>356</v>
      </c>
      <c r="B73" s="87" t="s">
        <v>184</v>
      </c>
      <c r="C73" s="88" t="s">
        <v>357</v>
      </c>
      <c r="D73" s="88" t="s">
        <v>51</v>
      </c>
      <c r="E73" s="88">
        <v>30.0</v>
      </c>
      <c r="F73" s="89">
        <v>63.0</v>
      </c>
      <c r="G73" s="90" t="s">
        <v>53</v>
      </c>
      <c r="H73" s="91">
        <v>46143.0</v>
      </c>
      <c r="I73" s="92" t="s">
        <v>17</v>
      </c>
      <c r="J73" s="92" t="s">
        <v>54</v>
      </c>
      <c r="K73" s="92" t="s">
        <v>66</v>
      </c>
      <c r="L73" s="92" t="s">
        <v>67</v>
      </c>
      <c r="M73" s="90" t="s">
        <v>104</v>
      </c>
      <c r="N73" s="92" t="s">
        <v>20</v>
      </c>
      <c r="O73" s="87" t="s">
        <v>69</v>
      </c>
      <c r="P73" s="87"/>
      <c r="Q73" s="87" t="s">
        <v>286</v>
      </c>
      <c r="R73" s="93" t="s">
        <v>287</v>
      </c>
      <c r="S73" s="87"/>
      <c r="T73" s="87"/>
      <c r="U73" s="94" t="str">
        <f t="array" ref="U73">IFERROR(INDEX(DFD!$D$2:$D$1048791,MATCH($Q73,DFD!$B$2:$B$1048791,0)),"")</f>
        <v/>
      </c>
      <c r="V73" s="94" t="str">
        <f t="array" ref="V73">IFERROR(INDEX(DFD!$F$2:$F$1048791,MATCH($Q73,DFD!$B$2:$B$1048791,0)),"")</f>
        <v/>
      </c>
      <c r="W73" s="97" t="str">
        <f t="array" ref="W73">IFERROR(INDEX(DFD!$E$2:$E$1048791,MATCH($Q73,DFD!$B$2:$B$1048791,0)),"")</f>
        <v/>
      </c>
      <c r="X73" s="97" t="str">
        <f t="array" ref="X73">IFERROR(INDEX(DFD!$K$2:$K$1048791,MATCH($Q73,DFD!$B$2:$B$1048791,0)),"")</f>
        <v/>
      </c>
      <c r="Y73" s="97" t="str">
        <f t="array" ref="Y73">IFERROR(INDEX(DFD!$L$2:$L$1048790,MATCH($Q73,DFD!$B$2:$B$1048790,0)),"")</f>
        <v/>
      </c>
      <c r="Z73" s="97">
        <f t="shared" si="4"/>
        <v>45</v>
      </c>
      <c r="AA73" s="87"/>
      <c r="AB73" s="87" t="s">
        <v>288</v>
      </c>
      <c r="AC73" s="87"/>
      <c r="AD73" s="99">
        <v>46043.0</v>
      </c>
      <c r="AE73" s="100">
        <f t="shared" si="2"/>
        <v>1</v>
      </c>
    </row>
    <row r="74" ht="15.75" customHeight="1">
      <c r="A74" s="59" t="s">
        <v>360</v>
      </c>
      <c r="B74" s="67" t="s">
        <v>361</v>
      </c>
      <c r="C74" s="81" t="s">
        <v>362</v>
      </c>
      <c r="D74" s="81" t="s">
        <v>51</v>
      </c>
      <c r="E74" s="81">
        <v>2.0</v>
      </c>
      <c r="F74" s="101">
        <v>118000.0</v>
      </c>
      <c r="G74" s="73" t="s">
        <v>53</v>
      </c>
      <c r="H74" s="74">
        <v>46266.0</v>
      </c>
      <c r="I74" s="67" t="s">
        <v>18</v>
      </c>
      <c r="J74" s="67" t="s">
        <v>54</v>
      </c>
      <c r="K74" s="67" t="s">
        <v>83</v>
      </c>
      <c r="L74" s="67" t="s">
        <v>56</v>
      </c>
      <c r="M74" s="73" t="s">
        <v>363</v>
      </c>
      <c r="N74" s="67" t="s">
        <v>58</v>
      </c>
      <c r="O74" s="67" t="s">
        <v>89</v>
      </c>
      <c r="P74" s="59"/>
      <c r="Q74" s="59">
        <v>2025.0</v>
      </c>
      <c r="R74" s="76" t="s">
        <v>364</v>
      </c>
      <c r="S74" s="59"/>
      <c r="T74" s="59"/>
      <c r="U74" s="77" t="s">
        <v>365</v>
      </c>
      <c r="V74" s="77" t="s">
        <v>361</v>
      </c>
      <c r="W74" s="84" t="str">
        <f t="array" ref="W74">IFERROR(INDEX(DFD!$E$2:$E$1048791,MATCH($Q74,DFD!$B$2:$B$1048791,0)),"")</f>
        <v/>
      </c>
      <c r="X74" s="84" t="str">
        <f t="array" ref="X74">IFERROR(INDEX(DFD!$K$2:$K$1048791,MATCH($Q74,DFD!$B$2:$B$1048791,0)),"")</f>
        <v/>
      </c>
      <c r="Y74" s="84" t="str">
        <f t="array" ref="Y74">IFERROR(INDEX(DFD!$L$2:$L$1048790,MATCH($Q74,DFD!$B$2:$B$1048790,0)),"")</f>
        <v/>
      </c>
      <c r="Z74" s="84">
        <f t="shared" si="4"/>
        <v>45</v>
      </c>
      <c r="AA74" s="59"/>
      <c r="AB74" s="59" t="s">
        <v>78</v>
      </c>
      <c r="AC74" s="59"/>
      <c r="AD74" s="85">
        <v>46043.0</v>
      </c>
      <c r="AE74" s="86">
        <f t="shared" si="2"/>
        <v>1</v>
      </c>
    </row>
    <row r="75" ht="15.75" customHeight="1">
      <c r="A75" s="92" t="s">
        <v>367</v>
      </c>
      <c r="B75" s="87" t="s">
        <v>184</v>
      </c>
      <c r="C75" s="88" t="s">
        <v>368</v>
      </c>
      <c r="D75" s="116" t="s">
        <v>51</v>
      </c>
      <c r="E75" s="116">
        <v>50.0</v>
      </c>
      <c r="F75" s="137">
        <v>3511.5</v>
      </c>
      <c r="G75" s="90" t="s">
        <v>53</v>
      </c>
      <c r="H75" s="91">
        <v>46266.0</v>
      </c>
      <c r="I75" s="92" t="s">
        <v>17</v>
      </c>
      <c r="J75" s="92" t="s">
        <v>54</v>
      </c>
      <c r="K75" s="92" t="s">
        <v>55</v>
      </c>
      <c r="L75" s="92" t="s">
        <v>56</v>
      </c>
      <c r="M75" s="90" t="s">
        <v>112</v>
      </c>
      <c r="N75" s="92" t="s">
        <v>20</v>
      </c>
      <c r="O75" s="87" t="s">
        <v>69</v>
      </c>
      <c r="P75" s="87"/>
      <c r="Q75" s="87">
        <v>2025.0</v>
      </c>
      <c r="R75" s="93" t="s">
        <v>269</v>
      </c>
      <c r="S75" s="87"/>
      <c r="T75" s="87"/>
      <c r="U75" s="94" t="s">
        <v>369</v>
      </c>
      <c r="V75" s="94" t="s">
        <v>184</v>
      </c>
      <c r="W75" s="97"/>
      <c r="X75" s="97"/>
      <c r="Y75" s="97"/>
      <c r="Z75" s="97"/>
      <c r="AA75" s="87"/>
      <c r="AB75" s="87" t="s">
        <v>78</v>
      </c>
      <c r="AC75" s="87"/>
      <c r="AD75" s="99">
        <v>46043.0</v>
      </c>
      <c r="AE75" s="100">
        <f t="shared" si="2"/>
        <v>1</v>
      </c>
    </row>
    <row r="76" ht="15.75" customHeight="1">
      <c r="A76" s="59" t="s">
        <v>370</v>
      </c>
      <c r="B76" s="67" t="s">
        <v>355</v>
      </c>
      <c r="C76" s="60" t="s">
        <v>371</v>
      </c>
      <c r="D76" s="81" t="s">
        <v>51</v>
      </c>
      <c r="E76" s="81">
        <v>2.0</v>
      </c>
      <c r="F76" s="101">
        <v>4787.06</v>
      </c>
      <c r="G76" s="73" t="s">
        <v>53</v>
      </c>
      <c r="H76" s="74">
        <v>46266.0</v>
      </c>
      <c r="I76" s="67" t="s">
        <v>17</v>
      </c>
      <c r="J76" s="67" t="s">
        <v>54</v>
      </c>
      <c r="K76" s="67" t="s">
        <v>372</v>
      </c>
      <c r="L76" s="67" t="s">
        <v>67</v>
      </c>
      <c r="M76" s="73" t="s">
        <v>112</v>
      </c>
      <c r="N76" s="67" t="s">
        <v>5</v>
      </c>
      <c r="O76" s="59" t="s">
        <v>69</v>
      </c>
      <c r="P76" s="59"/>
      <c r="Q76" s="59">
        <v>2025.0</v>
      </c>
      <c r="R76" s="76" t="s">
        <v>373</v>
      </c>
      <c r="S76" s="59"/>
      <c r="T76" s="59"/>
      <c r="U76" s="77" t="s">
        <v>374</v>
      </c>
      <c r="V76" s="67" t="s">
        <v>355</v>
      </c>
      <c r="W76" s="84"/>
      <c r="X76" s="84"/>
      <c r="Y76" s="84"/>
      <c r="Z76" s="84"/>
      <c r="AA76" s="59"/>
      <c r="AB76" s="59" t="s">
        <v>78</v>
      </c>
      <c r="AC76" s="59"/>
      <c r="AD76" s="85">
        <v>46043.0</v>
      </c>
      <c r="AE76" s="86">
        <f t="shared" si="2"/>
        <v>1</v>
      </c>
    </row>
    <row r="77" ht="15.75" customHeight="1">
      <c r="A77" s="92" t="s">
        <v>375</v>
      </c>
      <c r="B77" s="87" t="s">
        <v>49</v>
      </c>
      <c r="C77" s="88" t="s">
        <v>376</v>
      </c>
      <c r="D77" s="88" t="s">
        <v>51</v>
      </c>
      <c r="E77" s="88">
        <v>1.0</v>
      </c>
      <c r="F77" s="89">
        <v>100000.0</v>
      </c>
      <c r="G77" s="90" t="s">
        <v>53</v>
      </c>
      <c r="H77" s="91">
        <v>46266.0</v>
      </c>
      <c r="I77" s="92" t="s">
        <v>18</v>
      </c>
      <c r="J77" s="92" t="s">
        <v>54</v>
      </c>
      <c r="K77" s="92" t="s">
        <v>83</v>
      </c>
      <c r="L77" s="92" t="s">
        <v>56</v>
      </c>
      <c r="M77" s="90" t="s">
        <v>132</v>
      </c>
      <c r="N77" s="92" t="s">
        <v>20</v>
      </c>
      <c r="O77" s="92" t="s">
        <v>89</v>
      </c>
      <c r="P77" s="87"/>
      <c r="Q77" s="87" t="s">
        <v>377</v>
      </c>
      <c r="R77" s="93" t="s">
        <v>379</v>
      </c>
      <c r="S77" s="88"/>
      <c r="T77" s="87"/>
      <c r="U77" s="94" t="str">
        <f t="array" ref="U77">IFERROR(INDEX(DFD!$D$2:$D$1048791,MATCH($Q77,DFD!$B$2:$B$1048791,0)),"")</f>
        <v/>
      </c>
      <c r="V77" s="94" t="s">
        <v>62</v>
      </c>
      <c r="W77" s="97" t="str">
        <f t="array" ref="W77">IFERROR(INDEX(DFD!$E$2:$E$1048791,MATCH($Q77,DFD!$B$2:$B$1048791,0)),"")</f>
        <v/>
      </c>
      <c r="X77" s="97" t="str">
        <f t="array" ref="X77">IFERROR(INDEX(DFD!$K$2:$K$1048791,MATCH($Q77,DFD!$B$2:$B$1048791,0)),"")</f>
        <v/>
      </c>
      <c r="Y77" s="97" t="str">
        <f t="array" ref="Y77">IFERROR(INDEX(DFD!$L$2:$L$1048790,MATCH($Q77,DFD!$B$2:$B$1048790,0)),"")</f>
        <v/>
      </c>
      <c r="Z77" s="97">
        <f t="shared" ref="Z77:Z81" si="5">Y77+45</f>
        <v>45</v>
      </c>
      <c r="AA77" s="87"/>
      <c r="AB77" s="87" t="s">
        <v>78</v>
      </c>
      <c r="AC77" s="87"/>
      <c r="AD77" s="99">
        <v>46043.0</v>
      </c>
      <c r="AE77" s="100">
        <f t="shared" si="2"/>
        <v>1</v>
      </c>
    </row>
    <row r="78" ht="15.75" customHeight="1">
      <c r="A78" s="67" t="s">
        <v>383</v>
      </c>
      <c r="B78" s="71" t="s">
        <v>101</v>
      </c>
      <c r="C78" s="60" t="s">
        <v>384</v>
      </c>
      <c r="D78" s="60" t="s">
        <v>51</v>
      </c>
      <c r="E78" s="60">
        <v>16.0</v>
      </c>
      <c r="F78" s="72">
        <v>32000.0</v>
      </c>
      <c r="G78" s="73" t="s">
        <v>53</v>
      </c>
      <c r="H78" s="74">
        <v>46204.0</v>
      </c>
      <c r="I78" s="67" t="s">
        <v>17</v>
      </c>
      <c r="J78" s="67" t="s">
        <v>54</v>
      </c>
      <c r="K78" s="67" t="s">
        <v>372</v>
      </c>
      <c r="L78" s="67" t="s">
        <v>67</v>
      </c>
      <c r="M78" s="73" t="s">
        <v>132</v>
      </c>
      <c r="N78" s="67" t="s">
        <v>20</v>
      </c>
      <c r="O78" s="59" t="s">
        <v>69</v>
      </c>
      <c r="P78" s="59"/>
      <c r="Q78" s="59" t="s">
        <v>385</v>
      </c>
      <c r="R78" s="76" t="s">
        <v>114</v>
      </c>
      <c r="S78" s="59"/>
      <c r="T78" s="59"/>
      <c r="U78" s="77" t="str">
        <f t="array" ref="U78">IFERROR(INDEX(DFD!$D$2:$D$1048791,MATCH($Q78,DFD!$B$2:$B$1048791,0)),"")</f>
        <v/>
      </c>
      <c r="V78" s="77" t="s">
        <v>280</v>
      </c>
      <c r="W78" s="84" t="str">
        <f t="array" ref="W78">IFERROR(INDEX(DFD!$E$2:$E$1048791,MATCH($Q78,DFD!$B$2:$B$1048791,0)),"")</f>
        <v/>
      </c>
      <c r="X78" s="84" t="str">
        <f t="array" ref="X78">IFERROR(INDEX(DFD!$K$2:$K$1048791,MATCH($Q78,DFD!$B$2:$B$1048791,0)),"")</f>
        <v/>
      </c>
      <c r="Y78" s="84" t="str">
        <f t="array" ref="Y78">IFERROR(INDEX(DFD!$L$2:$L$1048790,MATCH($Q78,DFD!$B$2:$B$1048790,0)),"")</f>
        <v/>
      </c>
      <c r="Z78" s="84">
        <f t="shared" si="5"/>
        <v>45</v>
      </c>
      <c r="AA78" s="59"/>
      <c r="AB78" s="59" t="s">
        <v>78</v>
      </c>
      <c r="AC78" s="59"/>
      <c r="AD78" s="85">
        <v>46043.0</v>
      </c>
      <c r="AE78" s="86">
        <f t="shared" si="2"/>
        <v>1</v>
      </c>
    </row>
    <row r="79" ht="15.75" customHeight="1">
      <c r="A79" s="87" t="s">
        <v>389</v>
      </c>
      <c r="B79" s="87" t="s">
        <v>52</v>
      </c>
      <c r="C79" s="88" t="s">
        <v>390</v>
      </c>
      <c r="D79" s="88" t="s">
        <v>51</v>
      </c>
      <c r="E79" s="88">
        <v>2.0</v>
      </c>
      <c r="F79" s="89">
        <v>3209.76</v>
      </c>
      <c r="G79" s="90" t="s">
        <v>53</v>
      </c>
      <c r="H79" s="91">
        <v>46266.0</v>
      </c>
      <c r="I79" s="92" t="s">
        <v>18</v>
      </c>
      <c r="J79" s="92" t="s">
        <v>54</v>
      </c>
      <c r="K79" s="92" t="s">
        <v>83</v>
      </c>
      <c r="L79" s="92" t="s">
        <v>67</v>
      </c>
      <c r="M79" s="90" t="s">
        <v>132</v>
      </c>
      <c r="N79" s="92" t="s">
        <v>58</v>
      </c>
      <c r="O79" s="87" t="s">
        <v>69</v>
      </c>
      <c r="P79" s="87"/>
      <c r="Q79" s="87" t="s">
        <v>52</v>
      </c>
      <c r="R79" s="93" t="s">
        <v>323</v>
      </c>
      <c r="S79" s="87"/>
      <c r="T79" s="87"/>
      <c r="U79" s="94" t="s">
        <v>391</v>
      </c>
      <c r="V79" s="94" t="str">
        <f t="array" ref="V79">IFERROR(INDEX(DFD!$F$2:$F$1048791,MATCH($Q79,DFD!$B$2:$B$1048791,0)),"")</f>
        <v/>
      </c>
      <c r="W79" s="97" t="str">
        <f t="array" ref="W79">IFERROR(INDEX(DFD!$E$2:$E$1048791,MATCH($Q79,DFD!$B$2:$B$1048791,0)),"")</f>
        <v/>
      </c>
      <c r="X79" s="97" t="str">
        <f t="array" ref="X79">IFERROR(INDEX(DFD!$K$2:$K$1048791,MATCH($Q79,DFD!$B$2:$B$1048791,0)),"")</f>
        <v/>
      </c>
      <c r="Y79" s="97" t="str">
        <f t="array" ref="Y79">IFERROR(INDEX(DFD!$L$2:$L$1048790,MATCH($Q79,DFD!$B$2:$B$1048790,0)),"")</f>
        <v/>
      </c>
      <c r="Z79" s="97">
        <f t="shared" si="5"/>
        <v>45</v>
      </c>
      <c r="AA79" s="87"/>
      <c r="AB79" s="87" t="s">
        <v>78</v>
      </c>
      <c r="AC79" s="87"/>
      <c r="AD79" s="99">
        <v>46043.0</v>
      </c>
      <c r="AE79" s="100">
        <f t="shared" si="2"/>
        <v>1</v>
      </c>
    </row>
    <row r="80" ht="15.75" customHeight="1">
      <c r="A80" s="59" t="s">
        <v>394</v>
      </c>
      <c r="B80" s="59" t="s">
        <v>355</v>
      </c>
      <c r="C80" s="60" t="s">
        <v>395</v>
      </c>
      <c r="D80" s="60" t="s">
        <v>51</v>
      </c>
      <c r="E80" s="60">
        <v>50.0</v>
      </c>
      <c r="F80" s="72">
        <v>273820.52</v>
      </c>
      <c r="G80" s="73" t="s">
        <v>53</v>
      </c>
      <c r="H80" s="74">
        <v>46266.0</v>
      </c>
      <c r="I80" s="67" t="s">
        <v>17</v>
      </c>
      <c r="J80" s="67" t="s">
        <v>54</v>
      </c>
      <c r="K80" s="67" t="s">
        <v>55</v>
      </c>
      <c r="L80" s="67" t="s">
        <v>56</v>
      </c>
      <c r="M80" s="73" t="s">
        <v>396</v>
      </c>
      <c r="N80" s="67" t="s">
        <v>58</v>
      </c>
      <c r="O80" s="67" t="s">
        <v>89</v>
      </c>
      <c r="P80" s="59"/>
      <c r="Q80" s="59" t="s">
        <v>52</v>
      </c>
      <c r="R80" s="76" t="s">
        <v>71</v>
      </c>
      <c r="S80" s="59"/>
      <c r="T80" s="59"/>
      <c r="U80" s="77" t="s">
        <v>397</v>
      </c>
      <c r="V80" s="77" t="str">
        <f t="array" ref="V80">IFERROR(INDEX(DFD!$F$2:$F$1048791,MATCH($Q80,DFD!$B$2:$B$1048791,0)),"")</f>
        <v/>
      </c>
      <c r="W80" s="84" t="str">
        <f t="array" ref="W80">IFERROR(INDEX(DFD!$E$2:$E$1048791,MATCH($Q80,DFD!$B$2:$B$1048791,0)),"")</f>
        <v/>
      </c>
      <c r="X80" s="84" t="str">
        <f t="array" ref="X80">IFERROR(INDEX(DFD!$K$2:$K$1048791,MATCH($Q80,DFD!$B$2:$B$1048791,0)),"")</f>
        <v/>
      </c>
      <c r="Y80" s="84" t="str">
        <f t="array" ref="Y80">IFERROR(INDEX(DFD!$L$2:$L$1048790,MATCH($Q80,DFD!$B$2:$B$1048790,0)),"")</f>
        <v/>
      </c>
      <c r="Z80" s="84">
        <f t="shared" si="5"/>
        <v>45</v>
      </c>
      <c r="AA80" s="59"/>
      <c r="AB80" s="59" t="s">
        <v>78</v>
      </c>
      <c r="AC80" s="59"/>
      <c r="AD80" s="85">
        <v>46043.0</v>
      </c>
      <c r="AE80" s="86">
        <f t="shared" si="2"/>
        <v>1</v>
      </c>
    </row>
    <row r="81" ht="15.75" customHeight="1">
      <c r="A81" s="92" t="s">
        <v>398</v>
      </c>
      <c r="B81" s="87" t="s">
        <v>277</v>
      </c>
      <c r="C81" s="88" t="s">
        <v>399</v>
      </c>
      <c r="D81" s="88" t="s">
        <v>51</v>
      </c>
      <c r="E81" s="88">
        <v>2.0</v>
      </c>
      <c r="F81" s="89">
        <v>10000.0</v>
      </c>
      <c r="G81" s="90" t="s">
        <v>53</v>
      </c>
      <c r="H81" s="91">
        <v>46031.0</v>
      </c>
      <c r="I81" s="92" t="s">
        <v>17</v>
      </c>
      <c r="J81" s="92" t="s">
        <v>54</v>
      </c>
      <c r="K81" s="92" t="s">
        <v>372</v>
      </c>
      <c r="L81" s="92" t="s">
        <v>67</v>
      </c>
      <c r="M81" s="90" t="s">
        <v>132</v>
      </c>
      <c r="N81" s="92" t="s">
        <v>20</v>
      </c>
      <c r="O81" s="87" t="s">
        <v>69</v>
      </c>
      <c r="P81" s="87"/>
      <c r="Q81" s="87"/>
      <c r="R81" s="93" t="s">
        <v>402</v>
      </c>
      <c r="S81" s="87"/>
      <c r="T81" s="87"/>
      <c r="U81" s="94" t="str">
        <f t="array" ref="U81">IFERROR(INDEX(DFD!$D$2:$D$1048791,MATCH($Q81,DFD!$B$2:$B$1048791,0)),"")</f>
        <v/>
      </c>
      <c r="V81" s="94" t="str">
        <f t="array" ref="V81">IFERROR(INDEX(DFD!$F$2:$F$1048791,MATCH($Q81,DFD!$B$2:$B$1048791,0)),"")</f>
        <v/>
      </c>
      <c r="W81" s="97" t="str">
        <f t="array" ref="W81">IFERROR(INDEX(DFD!$E$2:$E$1048791,MATCH($Q81,DFD!$B$2:$B$1048791,0)),"")</f>
        <v/>
      </c>
      <c r="X81" s="97" t="str">
        <f t="array" ref="X81">IFERROR(INDEX(DFD!$K$2:$K$1048791,MATCH($Q81,DFD!$B$2:$B$1048791,0)),"")</f>
        <v/>
      </c>
      <c r="Y81" s="97" t="str">
        <f t="array" ref="Y81">IFERROR(INDEX(DFD!$L$2:$L$1048790,MATCH($Q81,DFD!$B$2:$B$1048790,0)),"")</f>
        <v/>
      </c>
      <c r="Z81" s="97">
        <f t="shared" si="5"/>
        <v>45</v>
      </c>
      <c r="AA81" s="87"/>
      <c r="AB81" s="87" t="s">
        <v>78</v>
      </c>
      <c r="AC81" s="87"/>
      <c r="AD81" s="99">
        <v>46043.0</v>
      </c>
      <c r="AE81" s="100">
        <f t="shared" si="2"/>
        <v>1</v>
      </c>
    </row>
    <row r="82" ht="15.75" customHeight="1">
      <c r="A82" s="67" t="s">
        <v>404</v>
      </c>
      <c r="B82" s="67" t="s">
        <v>49</v>
      </c>
      <c r="C82" s="60" t="s">
        <v>405</v>
      </c>
      <c r="D82" s="81" t="s">
        <v>51</v>
      </c>
      <c r="E82" s="81">
        <v>150.0</v>
      </c>
      <c r="F82" s="101">
        <v>67666.5</v>
      </c>
      <c r="G82" s="73" t="s">
        <v>53</v>
      </c>
      <c r="H82" s="74">
        <v>46266.0</v>
      </c>
      <c r="I82" s="67" t="s">
        <v>17</v>
      </c>
      <c r="J82" s="67" t="s">
        <v>54</v>
      </c>
      <c r="K82" s="67" t="s">
        <v>55</v>
      </c>
      <c r="L82" s="67" t="s">
        <v>56</v>
      </c>
      <c r="M82" s="73" t="s">
        <v>112</v>
      </c>
      <c r="N82" s="67" t="s">
        <v>20</v>
      </c>
      <c r="O82" s="59" t="s">
        <v>69</v>
      </c>
      <c r="P82" s="59"/>
      <c r="Q82" s="59">
        <v>2025.0</v>
      </c>
      <c r="R82" s="76" t="s">
        <v>71</v>
      </c>
      <c r="S82" s="59"/>
      <c r="T82" s="59"/>
      <c r="U82" s="77" t="s">
        <v>407</v>
      </c>
      <c r="V82" s="77" t="s">
        <v>409</v>
      </c>
      <c r="W82" s="84"/>
      <c r="X82" s="84"/>
      <c r="Y82" s="84"/>
      <c r="Z82" s="84"/>
      <c r="AA82" s="59"/>
      <c r="AB82" s="59" t="s">
        <v>78</v>
      </c>
      <c r="AC82" s="59"/>
      <c r="AD82" s="85">
        <v>46043.0</v>
      </c>
      <c r="AE82" s="86">
        <f t="shared" si="2"/>
        <v>1</v>
      </c>
    </row>
    <row r="83" ht="15.75" customHeight="1">
      <c r="A83" s="87" t="s">
        <v>411</v>
      </c>
      <c r="B83" s="87" t="s">
        <v>355</v>
      </c>
      <c r="C83" s="88" t="s">
        <v>412</v>
      </c>
      <c r="D83" s="88" t="s">
        <v>51</v>
      </c>
      <c r="E83" s="88">
        <v>50.0</v>
      </c>
      <c r="F83" s="89">
        <v>163066.63</v>
      </c>
      <c r="G83" s="90" t="s">
        <v>53</v>
      </c>
      <c r="H83" s="91">
        <v>46204.0</v>
      </c>
      <c r="I83" s="92" t="s">
        <v>17</v>
      </c>
      <c r="J83" s="92" t="s">
        <v>54</v>
      </c>
      <c r="K83" s="92" t="s">
        <v>372</v>
      </c>
      <c r="L83" s="92" t="s">
        <v>67</v>
      </c>
      <c r="M83" s="90" t="s">
        <v>132</v>
      </c>
      <c r="N83" s="92" t="s">
        <v>58</v>
      </c>
      <c r="O83" s="92" t="s">
        <v>89</v>
      </c>
      <c r="P83" s="87"/>
      <c r="Q83" s="87" t="s">
        <v>52</v>
      </c>
      <c r="R83" s="93" t="s">
        <v>71</v>
      </c>
      <c r="S83" s="87"/>
      <c r="T83" s="87"/>
      <c r="U83" s="94" t="s">
        <v>413</v>
      </c>
      <c r="V83" s="94" t="str">
        <f t="array" ref="V83">IFERROR(INDEX(DFD!$F$2:$F$1048791,MATCH($Q83,DFD!$B$2:$B$1048791,0)),"")</f>
        <v/>
      </c>
      <c r="W83" s="97" t="str">
        <f t="array" ref="W83">IFERROR(INDEX(DFD!$E$2:$E$1048791,MATCH($Q83,DFD!$B$2:$B$1048791,0)),"")</f>
        <v/>
      </c>
      <c r="X83" s="97" t="str">
        <f t="array" ref="X83">IFERROR(INDEX(DFD!$K$2:$K$1048791,MATCH($Q83,DFD!$B$2:$B$1048791,0)),"")</f>
        <v/>
      </c>
      <c r="Y83" s="97" t="str">
        <f t="array" ref="Y83">IFERROR(INDEX(DFD!$L$2:$L$1048790,MATCH($Q83,DFD!$B$2:$B$1048790,0)),"")</f>
        <v/>
      </c>
      <c r="Z83" s="97">
        <f>Y83+45</f>
        <v>45</v>
      </c>
      <c r="AA83" s="87"/>
      <c r="AB83" s="87" t="s">
        <v>78</v>
      </c>
      <c r="AC83" s="87"/>
      <c r="AD83" s="99">
        <v>46043.0</v>
      </c>
      <c r="AE83" s="100">
        <f t="shared" si="2"/>
        <v>1</v>
      </c>
    </row>
    <row r="84" ht="15.75" customHeight="1">
      <c r="A84" s="67"/>
      <c r="B84" s="59" t="s">
        <v>49</v>
      </c>
      <c r="C84" s="60" t="s">
        <v>416</v>
      </c>
      <c r="D84" s="60" t="s">
        <v>51</v>
      </c>
      <c r="E84" s="60">
        <v>1.0</v>
      </c>
      <c r="F84" s="72">
        <v>100000.0</v>
      </c>
      <c r="G84" s="73" t="s">
        <v>53</v>
      </c>
      <c r="H84" s="74">
        <v>46266.0</v>
      </c>
      <c r="I84" s="67" t="s">
        <v>17</v>
      </c>
      <c r="J84" s="67" t="s">
        <v>54</v>
      </c>
      <c r="K84" s="67" t="s">
        <v>55</v>
      </c>
      <c r="L84" s="67" t="s">
        <v>56</v>
      </c>
      <c r="M84" s="73" t="s">
        <v>132</v>
      </c>
      <c r="N84" s="67" t="s">
        <v>20</v>
      </c>
      <c r="O84" s="59" t="s">
        <v>69</v>
      </c>
      <c r="P84" s="59"/>
      <c r="Q84" s="59" t="s">
        <v>417</v>
      </c>
      <c r="R84" s="76" t="s">
        <v>114</v>
      </c>
      <c r="S84" s="59"/>
      <c r="T84" s="59"/>
      <c r="U84" s="67" t="s">
        <v>418</v>
      </c>
      <c r="V84" s="77" t="s">
        <v>62</v>
      </c>
      <c r="W84" s="84"/>
      <c r="X84" s="84"/>
      <c r="Y84" s="84"/>
      <c r="Z84" s="84"/>
      <c r="AA84" s="59"/>
      <c r="AB84" s="59" t="s">
        <v>78</v>
      </c>
      <c r="AC84" s="59"/>
      <c r="AD84" s="85"/>
      <c r="AE84" s="86"/>
    </row>
    <row r="85" ht="15.75" customHeight="1">
      <c r="A85" s="92" t="s">
        <v>419</v>
      </c>
      <c r="B85" s="87" t="s">
        <v>184</v>
      </c>
      <c r="C85" s="88" t="s">
        <v>420</v>
      </c>
      <c r="D85" s="116" t="s">
        <v>51</v>
      </c>
      <c r="E85" s="116">
        <v>2.0</v>
      </c>
      <c r="F85" s="137">
        <v>6089.99</v>
      </c>
      <c r="G85" s="90" t="s">
        <v>53</v>
      </c>
      <c r="H85" s="91">
        <v>46266.0</v>
      </c>
      <c r="I85" s="92" t="s">
        <v>17</v>
      </c>
      <c r="J85" s="92" t="s">
        <v>54</v>
      </c>
      <c r="K85" s="92" t="s">
        <v>66</v>
      </c>
      <c r="L85" s="92" t="s">
        <v>67</v>
      </c>
      <c r="M85" s="90" t="s">
        <v>112</v>
      </c>
      <c r="N85" s="92" t="s">
        <v>20</v>
      </c>
      <c r="O85" s="87" t="s">
        <v>69</v>
      </c>
      <c r="P85" s="87"/>
      <c r="Q85" s="87">
        <v>2025.0</v>
      </c>
      <c r="R85" s="93" t="s">
        <v>114</v>
      </c>
      <c r="S85" s="87"/>
      <c r="T85" s="87"/>
      <c r="U85" s="94" t="s">
        <v>421</v>
      </c>
      <c r="V85" s="87" t="s">
        <v>184</v>
      </c>
      <c r="W85" s="97"/>
      <c r="X85" s="97"/>
      <c r="Y85" s="97"/>
      <c r="Z85" s="97"/>
      <c r="AA85" s="87"/>
      <c r="AB85" s="87" t="s">
        <v>78</v>
      </c>
      <c r="AC85" s="87"/>
      <c r="AD85" s="99">
        <v>46043.0</v>
      </c>
      <c r="AE85" s="100">
        <f t="shared" ref="AE85:AE89" si="6">SUBTOTAL(103, R85)</f>
        <v>1</v>
      </c>
    </row>
    <row r="86" ht="15.75" customHeight="1">
      <c r="A86" s="59" t="s">
        <v>422</v>
      </c>
      <c r="B86" s="59" t="s">
        <v>423</v>
      </c>
      <c r="C86" s="60" t="s">
        <v>424</v>
      </c>
      <c r="D86" s="60" t="s">
        <v>51</v>
      </c>
      <c r="E86" s="60">
        <v>3.0</v>
      </c>
      <c r="F86" s="72">
        <v>10000.0</v>
      </c>
      <c r="G86" s="73" t="s">
        <v>53</v>
      </c>
      <c r="H86" s="74">
        <v>46266.0</v>
      </c>
      <c r="I86" s="67" t="s">
        <v>18</v>
      </c>
      <c r="J86" s="67" t="s">
        <v>54</v>
      </c>
      <c r="K86" s="67" t="s">
        <v>55</v>
      </c>
      <c r="L86" s="67" t="s">
        <v>67</v>
      </c>
      <c r="M86" s="73" t="s">
        <v>117</v>
      </c>
      <c r="N86" s="67" t="s">
        <v>5</v>
      </c>
      <c r="O86" s="67" t="s">
        <v>89</v>
      </c>
      <c r="P86" s="59"/>
      <c r="Q86" s="59">
        <v>2025.0</v>
      </c>
      <c r="R86" s="76" t="s">
        <v>86</v>
      </c>
      <c r="S86" s="59"/>
      <c r="T86" s="59"/>
      <c r="U86" s="77" t="s">
        <v>425</v>
      </c>
      <c r="V86" s="77" t="s">
        <v>426</v>
      </c>
      <c r="W86" s="84" t="str">
        <f t="array" ref="W86">IFERROR(INDEX(DFD!$E$2:$E$1048791,MATCH($Q86,DFD!$B$2:$B$1048791,0)),"")</f>
        <v/>
      </c>
      <c r="X86" s="84" t="str">
        <f t="array" ref="X86">IFERROR(INDEX(DFD!$K$2:$K$1048791,MATCH($Q86,DFD!$B$2:$B$1048791,0)),"")</f>
        <v/>
      </c>
      <c r="Y86" s="84" t="str">
        <f t="array" ref="Y86">IFERROR(INDEX(DFD!$L$2:$L$1048790,MATCH($Q86,DFD!$B$2:$B$1048790,0)),"")</f>
        <v/>
      </c>
      <c r="Z86" s="84">
        <f t="shared" ref="Z86:Z91" si="7">Y86+45</f>
        <v>45</v>
      </c>
      <c r="AA86" s="59"/>
      <c r="AB86" s="59" t="s">
        <v>78</v>
      </c>
      <c r="AC86" s="59"/>
      <c r="AD86" s="85">
        <v>46043.0</v>
      </c>
      <c r="AE86" s="86">
        <f t="shared" si="6"/>
        <v>1</v>
      </c>
    </row>
    <row r="87" ht="15.75" customHeight="1">
      <c r="A87" s="92" t="s">
        <v>432</v>
      </c>
      <c r="B87" s="87" t="s">
        <v>400</v>
      </c>
      <c r="C87" s="88" t="s">
        <v>433</v>
      </c>
      <c r="D87" s="88" t="s">
        <v>51</v>
      </c>
      <c r="E87" s="88">
        <v>1.0</v>
      </c>
      <c r="F87" s="89">
        <v>80000.0</v>
      </c>
      <c r="G87" s="90" t="s">
        <v>53</v>
      </c>
      <c r="H87" s="118">
        <v>46266.0</v>
      </c>
      <c r="I87" s="92" t="s">
        <v>18</v>
      </c>
      <c r="J87" s="92" t="s">
        <v>54</v>
      </c>
      <c r="K87" s="92" t="s">
        <v>83</v>
      </c>
      <c r="L87" s="92"/>
      <c r="M87" s="90" t="s">
        <v>167</v>
      </c>
      <c r="N87" s="92" t="s">
        <v>20</v>
      </c>
      <c r="O87" s="87" t="s">
        <v>69</v>
      </c>
      <c r="P87" s="87"/>
      <c r="Q87" s="87" t="s">
        <v>434</v>
      </c>
      <c r="R87" s="93" t="s">
        <v>435</v>
      </c>
      <c r="S87" s="87"/>
      <c r="T87" s="87"/>
      <c r="U87" s="94" t="str">
        <f t="array" ref="U87">IFERROR(INDEX(DFD!$D$2:$D$1048791,MATCH($Q87,DFD!$B$2:$B$1048791,0)),"")</f>
        <v/>
      </c>
      <c r="V87" s="94" t="str">
        <f t="array" ref="V87">IFERROR(INDEX(DFD!$F$2:$F$1048791,MATCH($Q87,DFD!$B$2:$B$1048791,0)),"")</f>
        <v/>
      </c>
      <c r="W87" s="97" t="str">
        <f t="array" ref="W87">IFERROR(INDEX(DFD!$E$2:$E$1048791,MATCH($Q87,DFD!$B$2:$B$1048791,0)),"")</f>
        <v/>
      </c>
      <c r="X87" s="97" t="str">
        <f t="array" ref="X87">IFERROR(INDEX(DFD!$K$2:$K$1048791,MATCH($Q87,DFD!$B$2:$B$1048791,0)),"")</f>
        <v/>
      </c>
      <c r="Y87" s="97" t="str">
        <f t="array" ref="Y87">IFERROR(INDEX(DFD!$L$2:$L$1048790,MATCH($Q87,DFD!$B$2:$B$1048790,0)),"")</f>
        <v/>
      </c>
      <c r="Z87" s="97">
        <f t="shared" si="7"/>
        <v>45</v>
      </c>
      <c r="AA87" s="87"/>
      <c r="AB87" s="87" t="s">
        <v>78</v>
      </c>
      <c r="AC87" s="87"/>
      <c r="AD87" s="99">
        <v>46043.0</v>
      </c>
      <c r="AE87" s="100">
        <f t="shared" si="6"/>
        <v>1</v>
      </c>
    </row>
    <row r="88" ht="15.75" customHeight="1">
      <c r="A88" s="67" t="s">
        <v>439</v>
      </c>
      <c r="B88" s="59" t="s">
        <v>400</v>
      </c>
      <c r="C88" s="60" t="s">
        <v>433</v>
      </c>
      <c r="D88" s="60" t="s">
        <v>51</v>
      </c>
      <c r="E88" s="60">
        <v>1.0</v>
      </c>
      <c r="F88" s="72">
        <v>180300.0</v>
      </c>
      <c r="G88" s="73" t="s">
        <v>53</v>
      </c>
      <c r="H88" s="74">
        <v>46266.0</v>
      </c>
      <c r="I88" s="67" t="s">
        <v>18</v>
      </c>
      <c r="J88" s="67" t="s">
        <v>54</v>
      </c>
      <c r="K88" s="67" t="s">
        <v>83</v>
      </c>
      <c r="L88" s="67" t="s">
        <v>56</v>
      </c>
      <c r="M88" s="73" t="s">
        <v>167</v>
      </c>
      <c r="N88" s="67" t="s">
        <v>20</v>
      </c>
      <c r="O88" s="59" t="s">
        <v>69</v>
      </c>
      <c r="P88" s="59"/>
      <c r="Q88" s="59"/>
      <c r="R88" s="76" t="s">
        <v>435</v>
      </c>
      <c r="S88" s="60"/>
      <c r="T88" s="59"/>
      <c r="U88" s="77" t="str">
        <f t="array" ref="U88">IFERROR(INDEX(DFD!$D$2:$D$1048791,MATCH($Q88,DFD!$B$2:$B$1048791,0)),"")</f>
        <v/>
      </c>
      <c r="V88" s="77" t="str">
        <f t="array" ref="V88">IFERROR(INDEX(DFD!$F$2:$F$1048791,MATCH($Q88,DFD!$B$2:$B$1048791,0)),"")</f>
        <v/>
      </c>
      <c r="W88" s="84" t="str">
        <f t="array" ref="W88">IFERROR(INDEX(DFD!$E$2:$E$1048791,MATCH($Q88,DFD!$B$2:$B$1048791,0)),"")</f>
        <v/>
      </c>
      <c r="X88" s="84" t="str">
        <f t="array" ref="X88">IFERROR(INDEX(DFD!$K$2:$K$1048791,MATCH($Q88,DFD!$B$2:$B$1048791,0)),"")</f>
        <v/>
      </c>
      <c r="Y88" s="84" t="str">
        <f t="array" ref="Y88">IFERROR(INDEX(DFD!$L$2:$L$1048790,MATCH($Q88,DFD!$B$2:$B$1048790,0)),"")</f>
        <v/>
      </c>
      <c r="Z88" s="84">
        <f t="shared" si="7"/>
        <v>45</v>
      </c>
      <c r="AA88" s="59"/>
      <c r="AB88" s="59" t="s">
        <v>72</v>
      </c>
      <c r="AC88" s="59"/>
      <c r="AD88" s="85">
        <v>46043.0</v>
      </c>
      <c r="AE88" s="86">
        <f t="shared" si="6"/>
        <v>1</v>
      </c>
    </row>
    <row r="89" ht="51.75" customHeight="1">
      <c r="A89" s="92" t="s">
        <v>432</v>
      </c>
      <c r="B89" s="87" t="s">
        <v>400</v>
      </c>
      <c r="C89" s="88" t="s">
        <v>433</v>
      </c>
      <c r="D89" s="88" t="s">
        <v>51</v>
      </c>
      <c r="E89" s="88">
        <v>1.0</v>
      </c>
      <c r="F89" s="89">
        <v>70157.0</v>
      </c>
      <c r="G89" s="90" t="s">
        <v>53</v>
      </c>
      <c r="H89" s="118">
        <v>46266.0</v>
      </c>
      <c r="I89" s="92" t="s">
        <v>18</v>
      </c>
      <c r="J89" s="92" t="s">
        <v>54</v>
      </c>
      <c r="K89" s="92" t="s">
        <v>83</v>
      </c>
      <c r="L89" s="92" t="s">
        <v>56</v>
      </c>
      <c r="M89" s="90" t="s">
        <v>68</v>
      </c>
      <c r="N89" s="92" t="s">
        <v>20</v>
      </c>
      <c r="O89" s="92" t="s">
        <v>89</v>
      </c>
      <c r="P89" s="87"/>
      <c r="Q89" s="87"/>
      <c r="R89" s="93" t="s">
        <v>435</v>
      </c>
      <c r="S89" s="87"/>
      <c r="T89" s="87"/>
      <c r="U89" s="94" t="str">
        <f t="array" ref="U89">IFERROR(INDEX(DFD!$D$2:$D$1048791,MATCH($Q89,DFD!$B$2:$B$1048791,0)),"")</f>
        <v/>
      </c>
      <c r="V89" s="94" t="str">
        <f t="array" ref="V89">IFERROR(INDEX(DFD!$F$2:$F$1048791,MATCH($Q89,DFD!$B$2:$B$1048791,0)),"")</f>
        <v/>
      </c>
      <c r="W89" s="97" t="str">
        <f t="array" ref="W89">IFERROR(INDEX(DFD!$E$2:$E$1048791,MATCH($Q89,DFD!$B$2:$B$1048791,0)),"")</f>
        <v/>
      </c>
      <c r="X89" s="97" t="str">
        <f t="array" ref="X89">IFERROR(INDEX(DFD!$K$2:$K$1048791,MATCH($Q89,DFD!$B$2:$B$1048791,0)),"")</f>
        <v/>
      </c>
      <c r="Y89" s="97" t="str">
        <f t="array" ref="Y89">IFERROR(INDEX(DFD!$L$2:$L$1048790,MATCH($Q89,DFD!$B$2:$B$1048790,0)),"")</f>
        <v/>
      </c>
      <c r="Z89" s="97">
        <f t="shared" si="7"/>
        <v>45</v>
      </c>
      <c r="AA89" s="87"/>
      <c r="AB89" s="87" t="s">
        <v>72</v>
      </c>
      <c r="AC89" s="87"/>
      <c r="AD89" s="99">
        <v>46043.0</v>
      </c>
      <c r="AE89" s="100">
        <f t="shared" si="6"/>
        <v>1</v>
      </c>
    </row>
    <row r="90" ht="15.75" customHeight="1">
      <c r="A90" s="67"/>
      <c r="B90" s="59" t="s">
        <v>400</v>
      </c>
      <c r="C90" s="60" t="s">
        <v>444</v>
      </c>
      <c r="D90" s="60" t="s">
        <v>51</v>
      </c>
      <c r="E90" s="60">
        <v>1.0</v>
      </c>
      <c r="F90" s="72" t="s">
        <v>445</v>
      </c>
      <c r="G90" s="73" t="s">
        <v>53</v>
      </c>
      <c r="H90" s="74">
        <v>46234.0</v>
      </c>
      <c r="I90" s="67" t="s">
        <v>17</v>
      </c>
      <c r="J90" s="67" t="s">
        <v>54</v>
      </c>
      <c r="K90" s="67" t="s">
        <v>66</v>
      </c>
      <c r="L90" s="67" t="s">
        <v>56</v>
      </c>
      <c r="M90" s="73" t="s">
        <v>68</v>
      </c>
      <c r="N90" s="67" t="s">
        <v>20</v>
      </c>
      <c r="O90" s="59" t="s">
        <v>69</v>
      </c>
      <c r="P90" s="59"/>
      <c r="Q90" s="59" t="s">
        <v>446</v>
      </c>
      <c r="R90" s="76" t="s">
        <v>435</v>
      </c>
      <c r="S90" s="60"/>
      <c r="T90" s="59"/>
      <c r="U90" s="77" t="str">
        <f t="array" ref="U90">IFERROR(INDEX(DFD!$D$2:$D$1048791,MATCH($Q90,DFD!$B$2:$B$1048791,0)),"")</f>
        <v/>
      </c>
      <c r="V90" s="77" t="str">
        <f t="array" ref="V90">IFERROR(INDEX(DFD!$F$2:$F$1048791,MATCH($Q90,DFD!$B$2:$B$1048791,0)),"")</f>
        <v/>
      </c>
      <c r="W90" s="84" t="str">
        <f t="array" ref="W90">IFERROR(INDEX(DFD!$E$2:$E$1048791,MATCH($Q90,DFD!$B$2:$B$1048791,0)),"")</f>
        <v/>
      </c>
      <c r="X90" s="84" t="str">
        <f t="array" ref="X90">IFERROR(INDEX(DFD!$K$2:$K$1048791,MATCH($Q90,DFD!$B$2:$B$1048791,0)),"")</f>
        <v/>
      </c>
      <c r="Y90" s="84" t="str">
        <f t="array" ref="Y90">IFERROR(INDEX(DFD!$L$2:$L$1048790,MATCH($Q90,DFD!$B$2:$B$1048790,0)),"")</f>
        <v/>
      </c>
      <c r="Z90" s="84">
        <f t="shared" si="7"/>
        <v>45</v>
      </c>
      <c r="AA90" s="59"/>
      <c r="AB90" s="59"/>
      <c r="AC90" s="59"/>
      <c r="AD90" s="85"/>
      <c r="AE90" s="86"/>
    </row>
    <row r="91" ht="15.75" customHeight="1">
      <c r="A91" s="92" t="s">
        <v>449</v>
      </c>
      <c r="B91" s="87" t="s">
        <v>49</v>
      </c>
      <c r="C91" s="88" t="s">
        <v>450</v>
      </c>
      <c r="D91" s="88" t="s">
        <v>51</v>
      </c>
      <c r="E91" s="88">
        <v>1.0</v>
      </c>
      <c r="F91" s="89">
        <v>2000000.0</v>
      </c>
      <c r="G91" s="90" t="s">
        <v>53</v>
      </c>
      <c r="H91" s="91">
        <v>46266.0</v>
      </c>
      <c r="I91" s="92" t="s">
        <v>18</v>
      </c>
      <c r="J91" s="92" t="s">
        <v>54</v>
      </c>
      <c r="K91" s="92" t="s">
        <v>83</v>
      </c>
      <c r="L91" s="92" t="s">
        <v>197</v>
      </c>
      <c r="M91" s="90" t="s">
        <v>104</v>
      </c>
      <c r="N91" s="92" t="s">
        <v>20</v>
      </c>
      <c r="O91" s="87" t="s">
        <v>69</v>
      </c>
      <c r="P91" s="87"/>
      <c r="Q91" s="87" t="s">
        <v>451</v>
      </c>
      <c r="R91" s="93" t="s">
        <v>452</v>
      </c>
      <c r="S91" s="88"/>
      <c r="T91" s="87"/>
      <c r="U91" s="94" t="str">
        <f t="array" ref="U91">IFERROR(INDEX(DFD!$D$2:$D$1048791,MATCH($Q91,DFD!$B$2:$B$1048791,0)),"")</f>
        <v/>
      </c>
      <c r="V91" s="94" t="s">
        <v>62</v>
      </c>
      <c r="W91" s="97" t="str">
        <f t="array" ref="W91">IFERROR(INDEX(DFD!$E$2:$E$1048791,MATCH($Q91,DFD!$B$2:$B$1048791,0)),"")</f>
        <v/>
      </c>
      <c r="X91" s="97" t="str">
        <f t="array" ref="X91">IFERROR(INDEX(DFD!$K$2:$K$1048791,MATCH($Q91,DFD!$B$2:$B$1048791,0)),"")</f>
        <v/>
      </c>
      <c r="Y91" s="97" t="str">
        <f t="array" ref="Y91">IFERROR(INDEX(DFD!$L$2:$L$1048790,MATCH($Q91,DFD!$B$2:$B$1048790,0)),"")</f>
        <v/>
      </c>
      <c r="Z91" s="97">
        <f t="shared" si="7"/>
        <v>45</v>
      </c>
      <c r="AA91" s="87"/>
      <c r="AB91" s="87" t="s">
        <v>78</v>
      </c>
      <c r="AC91" s="87"/>
      <c r="AD91" s="99">
        <v>46043.0</v>
      </c>
      <c r="AE91" s="100">
        <f t="shared" ref="AE91:AE825" si="8">SUBTOTAL(103, R91)</f>
        <v>1</v>
      </c>
    </row>
    <row r="92" ht="15.75" customHeight="1">
      <c r="A92" s="67" t="s">
        <v>454</v>
      </c>
      <c r="B92" s="67" t="s">
        <v>49</v>
      </c>
      <c r="C92" s="60" t="s">
        <v>455</v>
      </c>
      <c r="D92" s="81" t="s">
        <v>51</v>
      </c>
      <c r="E92" s="81">
        <v>1.0</v>
      </c>
      <c r="F92" s="101">
        <v>234146.56</v>
      </c>
      <c r="G92" s="73" t="s">
        <v>53</v>
      </c>
      <c r="H92" s="74">
        <v>46266.0</v>
      </c>
      <c r="I92" s="67" t="s">
        <v>18</v>
      </c>
      <c r="J92" s="67" t="s">
        <v>54</v>
      </c>
      <c r="K92" s="67" t="s">
        <v>66</v>
      </c>
      <c r="L92" s="67" t="s">
        <v>56</v>
      </c>
      <c r="M92" s="73" t="s">
        <v>68</v>
      </c>
      <c r="N92" s="67" t="s">
        <v>20</v>
      </c>
      <c r="O92" s="67" t="s">
        <v>89</v>
      </c>
      <c r="P92" s="59"/>
      <c r="Q92" s="59">
        <v>2025.0</v>
      </c>
      <c r="R92" s="76" t="s">
        <v>164</v>
      </c>
      <c r="S92" s="59"/>
      <c r="T92" s="59"/>
      <c r="U92" s="77" t="s">
        <v>456</v>
      </c>
      <c r="V92" s="77" t="s">
        <v>62</v>
      </c>
      <c r="W92" s="84"/>
      <c r="X92" s="84"/>
      <c r="Y92" s="84"/>
      <c r="Z92" s="84"/>
      <c r="AA92" s="59"/>
      <c r="AB92" s="59" t="s">
        <v>78</v>
      </c>
      <c r="AC92" s="59"/>
      <c r="AD92" s="85">
        <v>46043.0</v>
      </c>
      <c r="AE92" s="86">
        <f t="shared" si="8"/>
        <v>1</v>
      </c>
    </row>
    <row r="93" ht="15.75" customHeight="1">
      <c r="A93" s="87" t="s">
        <v>457</v>
      </c>
      <c r="B93" s="92" t="s">
        <v>52</v>
      </c>
      <c r="C93" s="88" t="s">
        <v>458</v>
      </c>
      <c r="D93" s="116" t="s">
        <v>51</v>
      </c>
      <c r="E93" s="116">
        <v>1.0</v>
      </c>
      <c r="F93" s="137">
        <v>385.0</v>
      </c>
      <c r="G93" s="90" t="s">
        <v>53</v>
      </c>
      <c r="H93" s="91">
        <v>46266.0</v>
      </c>
      <c r="I93" s="92" t="s">
        <v>17</v>
      </c>
      <c r="J93" s="92" t="s">
        <v>54</v>
      </c>
      <c r="K93" s="92" t="s">
        <v>55</v>
      </c>
      <c r="L93" s="92" t="s">
        <v>67</v>
      </c>
      <c r="M93" s="90" t="s">
        <v>112</v>
      </c>
      <c r="N93" s="92" t="s">
        <v>58</v>
      </c>
      <c r="O93" s="87" t="s">
        <v>69</v>
      </c>
      <c r="P93" s="87"/>
      <c r="Q93" s="87" t="s">
        <v>52</v>
      </c>
      <c r="R93" s="93" t="s">
        <v>217</v>
      </c>
      <c r="S93" s="87"/>
      <c r="T93" s="87"/>
      <c r="U93" s="94" t="s">
        <v>460</v>
      </c>
      <c r="V93" s="94"/>
      <c r="W93" s="97"/>
      <c r="X93" s="97"/>
      <c r="Y93" s="97"/>
      <c r="Z93" s="97"/>
      <c r="AA93" s="87"/>
      <c r="AB93" s="87" t="s">
        <v>78</v>
      </c>
      <c r="AC93" s="87"/>
      <c r="AD93" s="99">
        <v>46043.0</v>
      </c>
      <c r="AE93" s="100">
        <f t="shared" si="8"/>
        <v>1</v>
      </c>
    </row>
    <row r="94" ht="15.75" customHeight="1">
      <c r="A94" s="59" t="s">
        <v>461</v>
      </c>
      <c r="B94" s="59" t="s">
        <v>52</v>
      </c>
      <c r="C94" s="60" t="s">
        <v>462</v>
      </c>
      <c r="D94" s="60" t="s">
        <v>51</v>
      </c>
      <c r="E94" s="60">
        <v>3.0</v>
      </c>
      <c r="F94" s="72">
        <v>60000.0</v>
      </c>
      <c r="G94" s="73" t="s">
        <v>53</v>
      </c>
      <c r="H94" s="74">
        <v>46174.0</v>
      </c>
      <c r="I94" s="67" t="s">
        <v>18</v>
      </c>
      <c r="J94" s="67" t="s">
        <v>54</v>
      </c>
      <c r="K94" s="67" t="s">
        <v>83</v>
      </c>
      <c r="L94" s="67" t="s">
        <v>56</v>
      </c>
      <c r="M94" s="73" t="s">
        <v>104</v>
      </c>
      <c r="N94" s="67" t="s">
        <v>58</v>
      </c>
      <c r="O94" s="59" t="s">
        <v>69</v>
      </c>
      <c r="P94" s="59"/>
      <c r="Q94" s="59" t="s">
        <v>52</v>
      </c>
      <c r="R94" s="76" t="s">
        <v>302</v>
      </c>
      <c r="S94" s="59"/>
      <c r="T94" s="59"/>
      <c r="U94" s="77"/>
      <c r="V94" s="77"/>
      <c r="W94" s="84"/>
      <c r="X94" s="84"/>
      <c r="Y94" s="84"/>
      <c r="Z94" s="84"/>
      <c r="AA94" s="59"/>
      <c r="AB94" s="59" t="s">
        <v>72</v>
      </c>
      <c r="AC94" s="59"/>
      <c r="AD94" s="85">
        <v>46043.0</v>
      </c>
      <c r="AE94" s="86">
        <f t="shared" si="8"/>
        <v>1</v>
      </c>
    </row>
    <row r="95" ht="15.75" customHeight="1">
      <c r="A95" s="92" t="s">
        <v>463</v>
      </c>
      <c r="B95" s="87" t="s">
        <v>464</v>
      </c>
      <c r="C95" s="116" t="s">
        <v>465</v>
      </c>
      <c r="D95" s="88" t="s">
        <v>51</v>
      </c>
      <c r="E95" s="88">
        <v>1.0</v>
      </c>
      <c r="F95" s="89">
        <v>40000.0</v>
      </c>
      <c r="G95" s="90" t="s">
        <v>437</v>
      </c>
      <c r="H95" s="91">
        <v>46266.0</v>
      </c>
      <c r="I95" s="92" t="s">
        <v>17</v>
      </c>
      <c r="J95" s="92" t="s">
        <v>54</v>
      </c>
      <c r="K95" s="92" t="s">
        <v>55</v>
      </c>
      <c r="L95" s="92" t="s">
        <v>56</v>
      </c>
      <c r="M95" s="90" t="s">
        <v>466</v>
      </c>
      <c r="N95" s="92" t="s">
        <v>20</v>
      </c>
      <c r="O95" s="92" t="s">
        <v>89</v>
      </c>
      <c r="P95" s="87"/>
      <c r="Q95" s="87" t="s">
        <v>467</v>
      </c>
      <c r="R95" s="93" t="s">
        <v>114</v>
      </c>
      <c r="S95" s="88"/>
      <c r="T95" s="87"/>
      <c r="U95" s="94" t="str">
        <f t="array" ref="U95">IFERROR(INDEX(DFD!$D$2:$D$1048791,MATCH($Q95,DFD!$B$2:$B$1048791,0)),"")</f>
        <v/>
      </c>
      <c r="V95" s="94" t="str">
        <f t="array" ref="V95">IFERROR(INDEX(DFD!$F$2:$F$1048791,MATCH($Q95,DFD!$B$2:$B$1048791,0)),"")</f>
        <v/>
      </c>
      <c r="W95" s="97" t="str">
        <f t="array" ref="W95">IFERROR(INDEX(DFD!$E$2:$E$1048791,MATCH($Q95,DFD!$B$2:$B$1048791,0)),"")</f>
        <v/>
      </c>
      <c r="X95" s="97" t="str">
        <f t="array" ref="X95">IFERROR(INDEX(DFD!$K$2:$K$1048791,MATCH($Q95,DFD!$B$2:$B$1048791,0)),"")</f>
        <v/>
      </c>
      <c r="Y95" s="97" t="str">
        <f t="array" ref="Y95">IFERROR(INDEX(DFD!$L$2:$L$1048790,MATCH($Q95,DFD!$B$2:$B$1048790,0)),"")</f>
        <v/>
      </c>
      <c r="Z95" s="97">
        <f t="shared" ref="Z95:Z116" si="9">Y95+45</f>
        <v>45</v>
      </c>
      <c r="AA95" s="87"/>
      <c r="AB95" s="87" t="s">
        <v>288</v>
      </c>
      <c r="AC95" s="87"/>
      <c r="AD95" s="99">
        <v>46043.0</v>
      </c>
      <c r="AE95" s="100">
        <f t="shared" si="8"/>
        <v>1</v>
      </c>
    </row>
    <row r="96" ht="15.75" customHeight="1">
      <c r="A96" s="67" t="s">
        <v>469</v>
      </c>
      <c r="B96" s="59" t="s">
        <v>172</v>
      </c>
      <c r="C96" s="60" t="s">
        <v>470</v>
      </c>
      <c r="D96" s="60" t="s">
        <v>51</v>
      </c>
      <c r="E96" s="60">
        <v>1.0</v>
      </c>
      <c r="F96" s="72">
        <v>40000.0</v>
      </c>
      <c r="G96" s="73" t="s">
        <v>437</v>
      </c>
      <c r="H96" s="74">
        <v>46266.0</v>
      </c>
      <c r="I96" s="67" t="s">
        <v>17</v>
      </c>
      <c r="J96" s="67" t="s">
        <v>54</v>
      </c>
      <c r="K96" s="67" t="s">
        <v>55</v>
      </c>
      <c r="L96" s="67" t="s">
        <v>56</v>
      </c>
      <c r="M96" s="73" t="s">
        <v>68</v>
      </c>
      <c r="N96" s="67" t="s">
        <v>20</v>
      </c>
      <c r="O96" s="59" t="s">
        <v>69</v>
      </c>
      <c r="P96" s="59"/>
      <c r="Q96" s="59" t="s">
        <v>471</v>
      </c>
      <c r="R96" s="76" t="s">
        <v>61</v>
      </c>
      <c r="S96" s="60"/>
      <c r="T96" s="59"/>
      <c r="U96" s="77" t="str">
        <f t="array" ref="U96">IFERROR(INDEX(DFD!$D$2:$D$1048791,MATCH($Q96,DFD!$B$2:$B$1048791,0)),"")</f>
        <v/>
      </c>
      <c r="V96" s="77" t="str">
        <f t="array" ref="V96">IFERROR(INDEX(DFD!$F$2:$F$1048791,MATCH($Q96,DFD!$B$2:$B$1048791,0)),"")</f>
        <v/>
      </c>
      <c r="W96" s="84" t="str">
        <f t="array" ref="W96">IFERROR(INDEX(DFD!$E$2:$E$1048791,MATCH($Q96,DFD!$B$2:$B$1048791,0)),"")</f>
        <v/>
      </c>
      <c r="X96" s="84" t="str">
        <f t="array" ref="X96">IFERROR(INDEX(DFD!$K$2:$K$1048791,MATCH($Q96,DFD!$B$2:$B$1048791,0)),"")</f>
        <v/>
      </c>
      <c r="Y96" s="84" t="str">
        <f t="array" ref="Y96">IFERROR(INDEX(DFD!$L$2:$L$1048790,MATCH($Q96,DFD!$B$2:$B$1048790,0)),"")</f>
        <v/>
      </c>
      <c r="Z96" s="84">
        <f t="shared" si="9"/>
        <v>45</v>
      </c>
      <c r="AA96" s="59"/>
      <c r="AB96" s="59" t="s">
        <v>78</v>
      </c>
      <c r="AC96" s="59"/>
      <c r="AD96" s="85">
        <v>46043.0</v>
      </c>
      <c r="AE96" s="86">
        <f t="shared" si="8"/>
        <v>1</v>
      </c>
    </row>
    <row r="97" ht="15.75" customHeight="1">
      <c r="A97" s="92" t="s">
        <v>474</v>
      </c>
      <c r="B97" s="87" t="s">
        <v>464</v>
      </c>
      <c r="C97" s="116" t="s">
        <v>475</v>
      </c>
      <c r="D97" s="88" t="s">
        <v>51</v>
      </c>
      <c r="E97" s="88">
        <v>1.0</v>
      </c>
      <c r="F97" s="89">
        <v>40000.0</v>
      </c>
      <c r="G97" s="90" t="s">
        <v>437</v>
      </c>
      <c r="H97" s="91">
        <v>46266.0</v>
      </c>
      <c r="I97" s="92" t="s">
        <v>17</v>
      </c>
      <c r="J97" s="92" t="s">
        <v>54</v>
      </c>
      <c r="K97" s="92" t="s">
        <v>55</v>
      </c>
      <c r="L97" s="92" t="s">
        <v>56</v>
      </c>
      <c r="M97" s="90" t="s">
        <v>68</v>
      </c>
      <c r="N97" s="92" t="s">
        <v>20</v>
      </c>
      <c r="O97" s="87" t="s">
        <v>69</v>
      </c>
      <c r="P97" s="87"/>
      <c r="Q97" s="87">
        <v>2025.0</v>
      </c>
      <c r="R97" s="93" t="s">
        <v>114</v>
      </c>
      <c r="S97" s="88"/>
      <c r="T97" s="87"/>
      <c r="U97" s="94" t="s">
        <v>476</v>
      </c>
      <c r="V97" s="94" t="str">
        <f t="array" ref="V97">IFERROR(INDEX(DFD!$F$2:$F$1048791,MATCH($Q97,DFD!$B$2:$B$1048791,0)),"")</f>
        <v/>
      </c>
      <c r="W97" s="97" t="str">
        <f t="array" ref="W97">IFERROR(INDEX(DFD!$E$2:$E$1048791,MATCH($Q97,DFD!$B$2:$B$1048791,0)),"")</f>
        <v/>
      </c>
      <c r="X97" s="97" t="str">
        <f t="array" ref="X97">IFERROR(INDEX(DFD!$K$2:$K$1048791,MATCH($Q97,DFD!$B$2:$B$1048791,0)),"")</f>
        <v/>
      </c>
      <c r="Y97" s="97" t="str">
        <f t="array" ref="Y97">IFERROR(INDEX(DFD!$L$2:$L$1048790,MATCH($Q97,DFD!$B$2:$B$1048790,0)),"")</f>
        <v/>
      </c>
      <c r="Z97" s="97">
        <f t="shared" si="9"/>
        <v>45</v>
      </c>
      <c r="AA97" s="87"/>
      <c r="AB97" s="87" t="s">
        <v>288</v>
      </c>
      <c r="AC97" s="87"/>
      <c r="AD97" s="99">
        <v>46043.0</v>
      </c>
      <c r="AE97" s="100">
        <f t="shared" si="8"/>
        <v>1</v>
      </c>
    </row>
    <row r="98" ht="15.75" customHeight="1">
      <c r="A98" s="67" t="s">
        <v>477</v>
      </c>
      <c r="B98" s="59" t="s">
        <v>174</v>
      </c>
      <c r="C98" s="60" t="s">
        <v>478</v>
      </c>
      <c r="D98" s="60" t="s">
        <v>479</v>
      </c>
      <c r="E98" s="60">
        <v>1.0</v>
      </c>
      <c r="F98" s="72">
        <v>180.0</v>
      </c>
      <c r="G98" s="73" t="s">
        <v>53</v>
      </c>
      <c r="H98" s="74">
        <v>46143.0</v>
      </c>
      <c r="I98" s="67" t="s">
        <v>17</v>
      </c>
      <c r="J98" s="67" t="s">
        <v>54</v>
      </c>
      <c r="K98" s="67" t="s">
        <v>66</v>
      </c>
      <c r="L98" s="67" t="s">
        <v>56</v>
      </c>
      <c r="M98" s="73" t="s">
        <v>104</v>
      </c>
      <c r="N98" s="67" t="s">
        <v>20</v>
      </c>
      <c r="O98" s="67" t="s">
        <v>89</v>
      </c>
      <c r="P98" s="59"/>
      <c r="Q98" s="59" t="s">
        <v>176</v>
      </c>
      <c r="R98" s="76" t="s">
        <v>402</v>
      </c>
      <c r="S98" s="59"/>
      <c r="T98" s="59"/>
      <c r="U98" s="77" t="str">
        <f t="array" ref="U98">IFERROR(INDEX(DFD!$D$2:$D$1048791,MATCH($Q98,DFD!$B$2:$B$1048791,0)),"")</f>
        <v/>
      </c>
      <c r="V98" s="77" t="str">
        <f t="array" ref="V98">IFERROR(INDEX(DFD!$F$2:$F$1048791,MATCH($Q98,DFD!$B$2:$B$1048791,0)),"")</f>
        <v/>
      </c>
      <c r="W98" s="84" t="str">
        <f t="array" ref="W98">IFERROR(INDEX(DFD!$E$2:$E$1048791,MATCH($Q98,DFD!$B$2:$B$1048791,0)),"")</f>
        <v/>
      </c>
      <c r="X98" s="84" t="str">
        <f t="array" ref="X98">IFERROR(INDEX(DFD!$K$2:$K$1048791,MATCH($Q98,DFD!$B$2:$B$1048791,0)),"")</f>
        <v/>
      </c>
      <c r="Y98" s="84" t="str">
        <f t="array" ref="Y98">IFERROR(INDEX(DFD!$L$2:$L$1048790,MATCH($Q98,DFD!$B$2:$B$1048790,0)),"")</f>
        <v/>
      </c>
      <c r="Z98" s="84">
        <f t="shared" si="9"/>
        <v>45</v>
      </c>
      <c r="AA98" s="59"/>
      <c r="AB98" s="59" t="s">
        <v>78</v>
      </c>
      <c r="AC98" s="59"/>
      <c r="AD98" s="85">
        <v>46043.0</v>
      </c>
      <c r="AE98" s="86">
        <f t="shared" si="8"/>
        <v>1</v>
      </c>
    </row>
    <row r="99" ht="15.75" customHeight="1">
      <c r="A99" s="92" t="s">
        <v>480</v>
      </c>
      <c r="B99" s="92" t="s">
        <v>174</v>
      </c>
      <c r="C99" s="88" t="s">
        <v>478</v>
      </c>
      <c r="D99" s="116" t="s">
        <v>479</v>
      </c>
      <c r="E99" s="116">
        <v>1.0</v>
      </c>
      <c r="F99" s="137">
        <v>180.0</v>
      </c>
      <c r="G99" s="90" t="s">
        <v>53</v>
      </c>
      <c r="H99" s="118">
        <v>46143.0</v>
      </c>
      <c r="I99" s="92" t="s">
        <v>17</v>
      </c>
      <c r="J99" s="92" t="s">
        <v>54</v>
      </c>
      <c r="K99" s="92" t="s">
        <v>66</v>
      </c>
      <c r="L99" s="92" t="s">
        <v>56</v>
      </c>
      <c r="M99" s="90" t="s">
        <v>112</v>
      </c>
      <c r="N99" s="92" t="s">
        <v>20</v>
      </c>
      <c r="O99" s="87" t="s">
        <v>69</v>
      </c>
      <c r="P99" s="87"/>
      <c r="Q99" s="87" t="s">
        <v>176</v>
      </c>
      <c r="R99" s="93" t="s">
        <v>402</v>
      </c>
      <c r="S99" s="87"/>
      <c r="T99" s="87"/>
      <c r="U99" s="94" t="str">
        <f t="array" ref="U99">IFERROR(INDEX(DFD!$D$2:$D$1048791,MATCH($Q99,DFD!$B$2:$B$1048791,0)),"")</f>
        <v/>
      </c>
      <c r="V99" s="94" t="str">
        <f t="array" ref="V99">IFERROR(INDEX(DFD!$F$2:$F$1048791,MATCH($Q99,DFD!$B$2:$B$1048791,0)),"")</f>
        <v/>
      </c>
      <c r="W99" s="97" t="str">
        <f t="array" ref="W99">IFERROR(INDEX(DFD!$E$2:$E$1048791,MATCH($Q99,DFD!$B$2:$B$1048791,0)),"")</f>
        <v/>
      </c>
      <c r="X99" s="97" t="str">
        <f t="array" ref="X99">IFERROR(INDEX(DFD!$K$2:$K$1048791,MATCH($Q99,DFD!$B$2:$B$1048791,0)),"")</f>
        <v/>
      </c>
      <c r="Y99" s="97" t="str">
        <f t="array" ref="Y99">IFERROR(INDEX(DFD!$L$2:$L$1048790,MATCH($Q99,DFD!$B$2:$B$1048790,0)),"")</f>
        <v/>
      </c>
      <c r="Z99" s="97">
        <f t="shared" si="9"/>
        <v>45</v>
      </c>
      <c r="AA99" s="87"/>
      <c r="AB99" s="87" t="s">
        <v>78</v>
      </c>
      <c r="AC99" s="87"/>
      <c r="AD99" s="99">
        <v>46043.0</v>
      </c>
      <c r="AE99" s="100">
        <f t="shared" si="8"/>
        <v>1</v>
      </c>
    </row>
    <row r="100" ht="15.75" customHeight="1">
      <c r="A100" s="59" t="s">
        <v>483</v>
      </c>
      <c r="B100" s="67" t="s">
        <v>101</v>
      </c>
      <c r="C100" s="60" t="s">
        <v>484</v>
      </c>
      <c r="D100" s="81" t="s">
        <v>51</v>
      </c>
      <c r="E100" s="81">
        <v>6.0</v>
      </c>
      <c r="F100" s="101">
        <v>7200.0</v>
      </c>
      <c r="G100" s="73" t="s">
        <v>53</v>
      </c>
      <c r="H100" s="83">
        <v>46204.0</v>
      </c>
      <c r="I100" s="67" t="s">
        <v>18</v>
      </c>
      <c r="J100" s="67" t="s">
        <v>54</v>
      </c>
      <c r="K100" s="67" t="s">
        <v>83</v>
      </c>
      <c r="L100" s="67" t="s">
        <v>56</v>
      </c>
      <c r="M100" s="73" t="s">
        <v>104</v>
      </c>
      <c r="N100" s="67" t="s">
        <v>58</v>
      </c>
      <c r="O100" s="59" t="s">
        <v>69</v>
      </c>
      <c r="P100" s="59"/>
      <c r="Q100" s="59" t="s">
        <v>153</v>
      </c>
      <c r="R100" s="76" t="s">
        <v>71</v>
      </c>
      <c r="S100" s="59"/>
      <c r="T100" s="59"/>
      <c r="U100" s="77" t="str">
        <f t="array" ref="U100">IFERROR(INDEX(DFD!$D$2:$D$1048791,MATCH($Q100,DFD!$B$2:$B$1048791,0)),"")</f>
        <v/>
      </c>
      <c r="V100" s="77" t="str">
        <f t="array" ref="V100">IFERROR(INDEX(DFD!$F$2:$F$1048791,MATCH($Q100,DFD!$B$2:$B$1048791,0)),"")</f>
        <v/>
      </c>
      <c r="W100" s="84" t="str">
        <f t="array" ref="W100">IFERROR(INDEX(DFD!$E$2:$E$1048791,MATCH($Q100,DFD!$B$2:$B$1048791,0)),"")</f>
        <v/>
      </c>
      <c r="X100" s="84" t="str">
        <f t="array" ref="X100">IFERROR(INDEX(DFD!$K$2:$K$1048791,MATCH($Q100,DFD!$B$2:$B$1048791,0)),"")</f>
        <v/>
      </c>
      <c r="Y100" s="84" t="str">
        <f t="array" ref="Y100">IFERROR(INDEX(DFD!$L$2:$L$1048790,MATCH($Q100,DFD!$B$2:$B$1048790,0)),"")</f>
        <v/>
      </c>
      <c r="Z100" s="84">
        <f t="shared" si="9"/>
        <v>45</v>
      </c>
      <c r="AA100" s="59"/>
      <c r="AB100" s="59" t="s">
        <v>78</v>
      </c>
      <c r="AC100" s="59"/>
      <c r="AD100" s="85">
        <v>46043.0</v>
      </c>
      <c r="AE100" s="86">
        <f t="shared" si="8"/>
        <v>1</v>
      </c>
    </row>
    <row r="101" ht="15.75" customHeight="1">
      <c r="A101" s="92" t="s">
        <v>487</v>
      </c>
      <c r="B101" s="87" t="s">
        <v>87</v>
      </c>
      <c r="C101" s="88" t="s">
        <v>82</v>
      </c>
      <c r="D101" s="88" t="s">
        <v>51</v>
      </c>
      <c r="E101" s="88">
        <v>2.0</v>
      </c>
      <c r="F101" s="89">
        <v>1000.0</v>
      </c>
      <c r="G101" s="90" t="s">
        <v>53</v>
      </c>
      <c r="H101" s="91">
        <v>46174.0</v>
      </c>
      <c r="I101" s="92" t="s">
        <v>18</v>
      </c>
      <c r="J101" s="92" t="s">
        <v>54</v>
      </c>
      <c r="K101" s="92" t="s">
        <v>83</v>
      </c>
      <c r="L101" s="92" t="s">
        <v>56</v>
      </c>
      <c r="M101" s="90" t="s">
        <v>68</v>
      </c>
      <c r="N101" s="92" t="s">
        <v>20</v>
      </c>
      <c r="O101" s="92" t="s">
        <v>89</v>
      </c>
      <c r="P101" s="87"/>
      <c r="Q101" s="87" t="s">
        <v>214</v>
      </c>
      <c r="R101" s="93" t="s">
        <v>217</v>
      </c>
      <c r="S101" s="87"/>
      <c r="T101" s="87"/>
      <c r="U101" s="94" t="str">
        <f t="array" ref="U101">IFERROR(INDEX(DFD!$D$2:$D$1048791,MATCH($Q101,DFD!$B$2:$B$1048791,0)),"")</f>
        <v/>
      </c>
      <c r="V101" s="94" t="str">
        <f t="array" ref="V101">IFERROR(INDEX(DFD!$F$2:$F$1048791,MATCH($Q101,DFD!$B$2:$B$1048791,0)),"")</f>
        <v/>
      </c>
      <c r="W101" s="97" t="str">
        <f t="array" ref="W101">IFERROR(INDEX(DFD!$E$2:$E$1048791,MATCH($Q101,DFD!$B$2:$B$1048791,0)),"")</f>
        <v/>
      </c>
      <c r="X101" s="97" t="str">
        <f t="array" ref="X101">IFERROR(INDEX(DFD!$K$2:$K$1048791,MATCH($Q101,DFD!$B$2:$B$1048791,0)),"")</f>
        <v/>
      </c>
      <c r="Y101" s="97" t="str">
        <f t="array" ref="Y101">IFERROR(INDEX(DFD!$L$2:$L$1048790,MATCH($Q101,DFD!$B$2:$B$1048790,0)),"")</f>
        <v/>
      </c>
      <c r="Z101" s="97">
        <f t="shared" si="9"/>
        <v>45</v>
      </c>
      <c r="AA101" s="87"/>
      <c r="AB101" s="87" t="s">
        <v>78</v>
      </c>
      <c r="AC101" s="87"/>
      <c r="AD101" s="99">
        <v>46043.0</v>
      </c>
      <c r="AE101" s="100">
        <f t="shared" si="8"/>
        <v>1</v>
      </c>
    </row>
    <row r="102" ht="15.75" customHeight="1">
      <c r="A102" s="67" t="s">
        <v>489</v>
      </c>
      <c r="B102" s="59" t="s">
        <v>184</v>
      </c>
      <c r="C102" s="60" t="s">
        <v>490</v>
      </c>
      <c r="D102" s="60" t="s">
        <v>51</v>
      </c>
      <c r="E102" s="60">
        <v>30.0</v>
      </c>
      <c r="F102" s="72">
        <v>26700.0</v>
      </c>
      <c r="G102" s="73" t="s">
        <v>53</v>
      </c>
      <c r="H102" s="74">
        <v>46235.0</v>
      </c>
      <c r="I102" s="67" t="s">
        <v>17</v>
      </c>
      <c r="J102" s="67" t="s">
        <v>54</v>
      </c>
      <c r="K102" s="67" t="s">
        <v>66</v>
      </c>
      <c r="L102" s="67" t="s">
        <v>67</v>
      </c>
      <c r="M102" s="73" t="s">
        <v>68</v>
      </c>
      <c r="N102" s="67" t="s">
        <v>20</v>
      </c>
      <c r="O102" s="59" t="s">
        <v>69</v>
      </c>
      <c r="P102" s="59"/>
      <c r="Q102" s="59" t="s">
        <v>491</v>
      </c>
      <c r="R102" s="76" t="s">
        <v>269</v>
      </c>
      <c r="S102" s="59"/>
      <c r="T102" s="59"/>
      <c r="U102" s="77" t="str">
        <f t="array" ref="U102">IFERROR(INDEX(DFD!$D$2:$D$1048791,MATCH($Q102,DFD!$B$2:$B$1048791,0)),"")</f>
        <v/>
      </c>
      <c r="V102" s="77" t="str">
        <f t="array" ref="V102">IFERROR(INDEX(DFD!$F$2:$F$1048791,MATCH($Q102,DFD!$B$2:$B$1048791,0)),"")</f>
        <v/>
      </c>
      <c r="W102" s="84" t="str">
        <f t="array" ref="W102">IFERROR(INDEX(DFD!$E$2:$E$1048791,MATCH($Q102,DFD!$B$2:$B$1048791,0)),"")</f>
        <v/>
      </c>
      <c r="X102" s="84" t="str">
        <f t="array" ref="X102">IFERROR(INDEX(DFD!$K$2:$K$1048791,MATCH($Q102,DFD!$B$2:$B$1048791,0)),"")</f>
        <v/>
      </c>
      <c r="Y102" s="84" t="str">
        <f t="array" ref="Y102">IFERROR(INDEX(DFD!$L$2:$L$1048790,MATCH($Q102,DFD!$B$2:$B$1048790,0)),"")</f>
        <v/>
      </c>
      <c r="Z102" s="84">
        <f t="shared" si="9"/>
        <v>45</v>
      </c>
      <c r="AA102" s="59"/>
      <c r="AB102" s="59" t="s">
        <v>78</v>
      </c>
      <c r="AC102" s="59"/>
      <c r="AD102" s="85">
        <v>46043.0</v>
      </c>
      <c r="AE102" s="86">
        <f t="shared" si="8"/>
        <v>1</v>
      </c>
    </row>
    <row r="103" ht="15.75" customHeight="1">
      <c r="A103" s="87" t="s">
        <v>493</v>
      </c>
      <c r="B103" s="92" t="s">
        <v>101</v>
      </c>
      <c r="C103" s="88" t="s">
        <v>490</v>
      </c>
      <c r="D103" s="116" t="s">
        <v>51</v>
      </c>
      <c r="E103" s="116">
        <v>2.0</v>
      </c>
      <c r="F103" s="137">
        <v>1780.0</v>
      </c>
      <c r="G103" s="90" t="s">
        <v>53</v>
      </c>
      <c r="H103" s="118">
        <v>46174.0</v>
      </c>
      <c r="I103" s="92" t="s">
        <v>18</v>
      </c>
      <c r="J103" s="92" t="s">
        <v>54</v>
      </c>
      <c r="K103" s="92" t="s">
        <v>83</v>
      </c>
      <c r="L103" s="92" t="s">
        <v>56</v>
      </c>
      <c r="M103" s="90" t="s">
        <v>68</v>
      </c>
      <c r="N103" s="92" t="s">
        <v>58</v>
      </c>
      <c r="O103" s="87" t="s">
        <v>69</v>
      </c>
      <c r="P103" s="87"/>
      <c r="Q103" s="87" t="s">
        <v>491</v>
      </c>
      <c r="R103" s="93" t="s">
        <v>269</v>
      </c>
      <c r="S103" s="87"/>
      <c r="T103" s="87"/>
      <c r="U103" s="94" t="str">
        <f t="array" ref="U103">IFERROR(INDEX(DFD!$D$2:$D$1048791,MATCH($Q103,DFD!$B$2:$B$1048791,0)),"")</f>
        <v/>
      </c>
      <c r="V103" s="94" t="str">
        <f t="array" ref="V103">IFERROR(INDEX(DFD!$F$2:$F$1048791,MATCH($Q103,DFD!$B$2:$B$1048791,0)),"")</f>
        <v/>
      </c>
      <c r="W103" s="97" t="str">
        <f t="array" ref="W103">IFERROR(INDEX(DFD!$E$2:$E$1048791,MATCH($Q103,DFD!$B$2:$B$1048791,0)),"")</f>
        <v/>
      </c>
      <c r="X103" s="97" t="str">
        <f t="array" ref="X103">IFERROR(INDEX(DFD!$K$2:$K$1048791,MATCH($Q103,DFD!$B$2:$B$1048791,0)),"")</f>
        <v/>
      </c>
      <c r="Y103" s="97" t="str">
        <f t="array" ref="Y103">IFERROR(INDEX(DFD!$L$2:$L$1048790,MATCH($Q103,DFD!$B$2:$B$1048790,0)),"")</f>
        <v/>
      </c>
      <c r="Z103" s="97">
        <f t="shared" si="9"/>
        <v>45</v>
      </c>
      <c r="AA103" s="87"/>
      <c r="AB103" s="87" t="s">
        <v>78</v>
      </c>
      <c r="AC103" s="87"/>
      <c r="AD103" s="99">
        <v>46043.0</v>
      </c>
      <c r="AE103" s="100">
        <f t="shared" si="8"/>
        <v>1</v>
      </c>
    </row>
    <row r="104" ht="15.75" customHeight="1">
      <c r="A104" s="59" t="s">
        <v>495</v>
      </c>
      <c r="B104" s="67" t="s">
        <v>355</v>
      </c>
      <c r="C104" s="60" t="s">
        <v>496</v>
      </c>
      <c r="D104" s="81" t="s">
        <v>51</v>
      </c>
      <c r="E104" s="81">
        <v>2.0</v>
      </c>
      <c r="F104" s="101">
        <v>10000.0</v>
      </c>
      <c r="G104" s="73" t="s">
        <v>53</v>
      </c>
      <c r="H104" s="83">
        <v>46204.0</v>
      </c>
      <c r="I104" s="67" t="s">
        <v>18</v>
      </c>
      <c r="J104" s="67" t="s">
        <v>54</v>
      </c>
      <c r="K104" s="67" t="s">
        <v>83</v>
      </c>
      <c r="L104" s="67" t="s">
        <v>56</v>
      </c>
      <c r="M104" s="73" t="s">
        <v>104</v>
      </c>
      <c r="N104" s="67" t="s">
        <v>58</v>
      </c>
      <c r="O104" s="67" t="s">
        <v>89</v>
      </c>
      <c r="P104" s="59"/>
      <c r="Q104" s="59" t="s">
        <v>52</v>
      </c>
      <c r="R104" s="76" t="s">
        <v>217</v>
      </c>
      <c r="S104" s="59"/>
      <c r="T104" s="59"/>
      <c r="U104" s="77" t="str">
        <f t="array" ref="U104">IFERROR(INDEX(DFD!$D$2:$D$1048791,MATCH($Q104,DFD!$B$2:$B$1048791,0)),"")</f>
        <v/>
      </c>
      <c r="V104" s="77" t="str">
        <f t="array" ref="V104">IFERROR(INDEX(DFD!$F$2:$F$1048791,MATCH($Q104,DFD!$B$2:$B$1048791,0)),"")</f>
        <v/>
      </c>
      <c r="W104" s="84" t="str">
        <f t="array" ref="W104">IFERROR(INDEX(DFD!$E$2:$E$1048791,MATCH($Q104,DFD!$B$2:$B$1048791,0)),"")</f>
        <v/>
      </c>
      <c r="X104" s="84" t="str">
        <f t="array" ref="X104">IFERROR(INDEX(DFD!$K$2:$K$1048791,MATCH($Q104,DFD!$B$2:$B$1048791,0)),"")</f>
        <v/>
      </c>
      <c r="Y104" s="84" t="str">
        <f t="array" ref="Y104">IFERROR(INDEX(DFD!$L$2:$L$1048790,MATCH($Q104,DFD!$B$2:$B$1048790,0)),"")</f>
        <v/>
      </c>
      <c r="Z104" s="84">
        <f t="shared" si="9"/>
        <v>45</v>
      </c>
      <c r="AA104" s="59"/>
      <c r="AB104" s="59" t="s">
        <v>72</v>
      </c>
      <c r="AC104" s="59"/>
      <c r="AD104" s="85">
        <v>46043.0</v>
      </c>
      <c r="AE104" s="86">
        <f t="shared" si="8"/>
        <v>1</v>
      </c>
    </row>
    <row r="105" ht="15.75" customHeight="1">
      <c r="A105" s="92" t="s">
        <v>501</v>
      </c>
      <c r="B105" s="87" t="s">
        <v>184</v>
      </c>
      <c r="C105" s="88" t="s">
        <v>502</v>
      </c>
      <c r="D105" s="88" t="s">
        <v>51</v>
      </c>
      <c r="E105" s="88">
        <v>40.0</v>
      </c>
      <c r="F105" s="89">
        <v>1833.2</v>
      </c>
      <c r="G105" s="90" t="s">
        <v>53</v>
      </c>
      <c r="H105" s="91">
        <v>46174.0</v>
      </c>
      <c r="I105" s="92" t="s">
        <v>17</v>
      </c>
      <c r="J105" s="92" t="s">
        <v>54</v>
      </c>
      <c r="K105" s="92" t="s">
        <v>66</v>
      </c>
      <c r="L105" s="92" t="s">
        <v>67</v>
      </c>
      <c r="M105" s="90" t="s">
        <v>167</v>
      </c>
      <c r="N105" s="92" t="s">
        <v>20</v>
      </c>
      <c r="O105" s="87" t="s">
        <v>69</v>
      </c>
      <c r="P105" s="87"/>
      <c r="Q105" s="87" t="s">
        <v>113</v>
      </c>
      <c r="R105" s="93" t="s">
        <v>503</v>
      </c>
      <c r="S105" s="87"/>
      <c r="T105" s="87"/>
      <c r="U105" s="94" t="str">
        <f t="array" ref="U105">IFERROR(INDEX(DFD!$D$2:$D$1048791,MATCH($Q105,DFD!$B$2:$B$1048791,0)),"")</f>
        <v/>
      </c>
      <c r="V105" s="94" t="str">
        <f t="array" ref="V105">IFERROR(INDEX(DFD!$F$2:$F$1048791,MATCH($Q105,DFD!$B$2:$B$1048791,0)),"")</f>
        <v/>
      </c>
      <c r="W105" s="97" t="str">
        <f t="array" ref="W105">IFERROR(INDEX(DFD!$E$2:$E$1048791,MATCH($Q105,DFD!$B$2:$B$1048791,0)),"")</f>
        <v/>
      </c>
      <c r="X105" s="97" t="str">
        <f t="array" ref="X105">IFERROR(INDEX(DFD!$K$2:$K$1048791,MATCH($Q105,DFD!$B$2:$B$1048791,0)),"")</f>
        <v/>
      </c>
      <c r="Y105" s="97" t="str">
        <f t="array" ref="Y105">IFERROR(INDEX(DFD!$L$2:$L$1048790,MATCH($Q105,DFD!$B$2:$B$1048790,0)),"")</f>
        <v/>
      </c>
      <c r="Z105" s="97">
        <f t="shared" si="9"/>
        <v>45</v>
      </c>
      <c r="AA105" s="87"/>
      <c r="AB105" s="87" t="s">
        <v>78</v>
      </c>
      <c r="AC105" s="87"/>
      <c r="AD105" s="99">
        <v>46043.0</v>
      </c>
      <c r="AE105" s="100">
        <f t="shared" si="8"/>
        <v>1</v>
      </c>
    </row>
    <row r="106" ht="15.75" customHeight="1">
      <c r="A106" s="67"/>
      <c r="B106" s="67" t="s">
        <v>52</v>
      </c>
      <c r="C106" s="81" t="s">
        <v>505</v>
      </c>
      <c r="D106" s="81" t="s">
        <v>51</v>
      </c>
      <c r="E106" s="81">
        <v>1.0</v>
      </c>
      <c r="F106" s="113">
        <v>1200.0</v>
      </c>
      <c r="G106" s="73" t="s">
        <v>53</v>
      </c>
      <c r="H106" s="83">
        <v>46235.0</v>
      </c>
      <c r="I106" s="67" t="s">
        <v>17</v>
      </c>
      <c r="J106" s="67" t="s">
        <v>54</v>
      </c>
      <c r="K106" s="67" t="s">
        <v>66</v>
      </c>
      <c r="L106" s="67" t="s">
        <v>56</v>
      </c>
      <c r="M106" s="73" t="s">
        <v>132</v>
      </c>
      <c r="N106" s="67" t="s">
        <v>58</v>
      </c>
      <c r="O106" s="59" t="s">
        <v>69</v>
      </c>
      <c r="P106" s="59"/>
      <c r="Q106" s="59" t="s">
        <v>52</v>
      </c>
      <c r="R106" s="67" t="s">
        <v>506</v>
      </c>
      <c r="S106" s="59"/>
      <c r="T106" s="59"/>
      <c r="U106" s="77" t="str">
        <f t="array" ref="U106">IFERROR(INDEX(DFD!$D$2:$D$1048791,MATCH($Q106,DFD!$B$2:$B$1048791,0)),"")</f>
        <v/>
      </c>
      <c r="V106" s="77" t="str">
        <f t="array" ref="V106">IFERROR(INDEX(DFD!$F$2:$F$1048791,MATCH($Q106,DFD!$B$2:$B$1048791,0)),"")</f>
        <v/>
      </c>
      <c r="W106" s="84" t="str">
        <f t="array" ref="W106">IFERROR(INDEX(DFD!$E$2:$E$1048791,MATCH($Q106,DFD!$B$2:$B$1048791,0)),"")</f>
        <v/>
      </c>
      <c r="X106" s="84" t="str">
        <f t="array" ref="X106">IFERROR(INDEX(DFD!$K$2:$K$1048791,MATCH($Q106,DFD!$B$2:$B$1048791,0)),"")</f>
        <v/>
      </c>
      <c r="Y106" s="84" t="str">
        <f t="array" ref="Y106">IFERROR(INDEX(DFD!$L$2:$L$1048790,MATCH($Q106,DFD!$B$2:$B$1048790,0)),"")</f>
        <v/>
      </c>
      <c r="Z106" s="84">
        <f t="shared" si="9"/>
        <v>45</v>
      </c>
      <c r="AA106" s="59"/>
      <c r="AB106" s="59" t="s">
        <v>72</v>
      </c>
      <c r="AC106" s="59"/>
      <c r="AD106" s="85">
        <v>46043.0</v>
      </c>
      <c r="AE106" s="86">
        <f t="shared" si="8"/>
        <v>1</v>
      </c>
    </row>
    <row r="107" ht="15.75" customHeight="1">
      <c r="A107" s="92" t="s">
        <v>509</v>
      </c>
      <c r="B107" s="87" t="s">
        <v>184</v>
      </c>
      <c r="C107" s="88" t="s">
        <v>510</v>
      </c>
      <c r="D107" s="88" t="s">
        <v>51</v>
      </c>
      <c r="E107" s="88">
        <v>4000.0</v>
      </c>
      <c r="F107" s="89">
        <v>7200.0</v>
      </c>
      <c r="G107" s="90" t="s">
        <v>53</v>
      </c>
      <c r="H107" s="91">
        <v>46204.0</v>
      </c>
      <c r="I107" s="92" t="s">
        <v>17</v>
      </c>
      <c r="J107" s="92" t="s">
        <v>54</v>
      </c>
      <c r="K107" s="92" t="s">
        <v>66</v>
      </c>
      <c r="L107" s="92" t="s">
        <v>67</v>
      </c>
      <c r="M107" s="90" t="s">
        <v>68</v>
      </c>
      <c r="N107" s="92" t="s">
        <v>20</v>
      </c>
      <c r="O107" s="92" t="s">
        <v>89</v>
      </c>
      <c r="P107" s="87"/>
      <c r="Q107" s="87" t="s">
        <v>268</v>
      </c>
      <c r="R107" s="93" t="s">
        <v>269</v>
      </c>
      <c r="S107" s="87"/>
      <c r="T107" s="87"/>
      <c r="U107" s="94" t="str">
        <f t="array" ref="U107">IFERROR(INDEX(DFD!$D$2:$D$1048791,MATCH($Q107,DFD!$B$2:$B$1048791,0)),"")</f>
        <v/>
      </c>
      <c r="V107" s="94" t="str">
        <f t="array" ref="V107">IFERROR(INDEX(DFD!$F$2:$F$1048791,MATCH($Q107,DFD!$B$2:$B$1048791,0)),"")</f>
        <v/>
      </c>
      <c r="W107" s="97" t="str">
        <f t="array" ref="W107">IFERROR(INDEX(DFD!$E$2:$E$1048791,MATCH($Q107,DFD!$B$2:$B$1048791,0)),"")</f>
        <v/>
      </c>
      <c r="X107" s="97" t="str">
        <f t="array" ref="X107">IFERROR(INDEX(DFD!$K$2:$K$1048791,MATCH($Q107,DFD!$B$2:$B$1048791,0)),"")</f>
        <v/>
      </c>
      <c r="Y107" s="97" t="str">
        <f t="array" ref="Y107">IFERROR(INDEX(DFD!$L$2:$L$1048790,MATCH($Q107,DFD!$B$2:$B$1048790,0)),"")</f>
        <v/>
      </c>
      <c r="Z107" s="97">
        <f t="shared" si="9"/>
        <v>45</v>
      </c>
      <c r="AA107" s="87"/>
      <c r="AB107" s="87" t="s">
        <v>78</v>
      </c>
      <c r="AC107" s="87"/>
      <c r="AD107" s="99">
        <v>46043.0</v>
      </c>
      <c r="AE107" s="100">
        <f t="shared" si="8"/>
        <v>1</v>
      </c>
    </row>
    <row r="108" ht="77.25" customHeight="1">
      <c r="A108" s="67" t="s">
        <v>512</v>
      </c>
      <c r="B108" s="59" t="s">
        <v>184</v>
      </c>
      <c r="C108" s="60" t="s">
        <v>513</v>
      </c>
      <c r="D108" s="60" t="s">
        <v>51</v>
      </c>
      <c r="E108" s="60">
        <v>4000.0</v>
      </c>
      <c r="F108" s="72">
        <v>9400.0</v>
      </c>
      <c r="G108" s="73" t="s">
        <v>53</v>
      </c>
      <c r="H108" s="74">
        <v>46204.0</v>
      </c>
      <c r="I108" s="67" t="s">
        <v>17</v>
      </c>
      <c r="J108" s="67" t="s">
        <v>54</v>
      </c>
      <c r="K108" s="67" t="s">
        <v>66</v>
      </c>
      <c r="L108" s="67" t="s">
        <v>67</v>
      </c>
      <c r="M108" s="73" t="s">
        <v>68</v>
      </c>
      <c r="N108" s="67" t="s">
        <v>20</v>
      </c>
      <c r="O108" s="59" t="s">
        <v>69</v>
      </c>
      <c r="P108" s="59"/>
      <c r="Q108" s="59" t="s">
        <v>268</v>
      </c>
      <c r="R108" s="76" t="s">
        <v>269</v>
      </c>
      <c r="S108" s="59"/>
      <c r="T108" s="59"/>
      <c r="U108" s="77" t="str">
        <f t="array" ref="U108">IFERROR(INDEX(DFD!$D$2:$D$1048791,MATCH($Q108,DFD!$B$2:$B$1048791,0)),"")</f>
        <v/>
      </c>
      <c r="V108" s="77" t="str">
        <f t="array" ref="V108">IFERROR(INDEX(DFD!$F$2:$F$1048791,MATCH($Q108,DFD!$B$2:$B$1048791,0)),"")</f>
        <v/>
      </c>
      <c r="W108" s="84" t="str">
        <f t="array" ref="W108">IFERROR(INDEX(DFD!$E$2:$E$1048791,MATCH($Q108,DFD!$B$2:$B$1048791,0)),"")</f>
        <v/>
      </c>
      <c r="X108" s="84" t="str">
        <f t="array" ref="X108">IFERROR(INDEX(DFD!$K$2:$K$1048791,MATCH($Q108,DFD!$B$2:$B$1048791,0)),"")</f>
        <v/>
      </c>
      <c r="Y108" s="84" t="str">
        <f t="array" ref="Y108">IFERROR(INDEX(DFD!$L$2:$L$1048790,MATCH($Q108,DFD!$B$2:$B$1048790,0)),"")</f>
        <v/>
      </c>
      <c r="Z108" s="84">
        <f t="shared" si="9"/>
        <v>45</v>
      </c>
      <c r="AA108" s="59"/>
      <c r="AB108" s="59" t="s">
        <v>78</v>
      </c>
      <c r="AC108" s="59"/>
      <c r="AD108" s="85">
        <v>46043.0</v>
      </c>
      <c r="AE108" s="86">
        <f t="shared" si="8"/>
        <v>1</v>
      </c>
    </row>
    <row r="109" ht="51.75" customHeight="1">
      <c r="A109" s="92" t="s">
        <v>516</v>
      </c>
      <c r="B109" s="87" t="s">
        <v>184</v>
      </c>
      <c r="C109" s="88" t="s">
        <v>517</v>
      </c>
      <c r="D109" s="88" t="s">
        <v>51</v>
      </c>
      <c r="E109" s="88">
        <v>4000.0</v>
      </c>
      <c r="F109" s="89">
        <v>10000.0</v>
      </c>
      <c r="G109" s="90" t="s">
        <v>53</v>
      </c>
      <c r="H109" s="91">
        <v>46204.0</v>
      </c>
      <c r="I109" s="92" t="s">
        <v>17</v>
      </c>
      <c r="J109" s="92" t="s">
        <v>54</v>
      </c>
      <c r="K109" s="92" t="s">
        <v>66</v>
      </c>
      <c r="L109" s="92" t="s">
        <v>67</v>
      </c>
      <c r="M109" s="90" t="s">
        <v>68</v>
      </c>
      <c r="N109" s="92" t="s">
        <v>20</v>
      </c>
      <c r="O109" s="87" t="s">
        <v>69</v>
      </c>
      <c r="P109" s="87"/>
      <c r="Q109" s="87" t="s">
        <v>268</v>
      </c>
      <c r="R109" s="93" t="s">
        <v>269</v>
      </c>
      <c r="S109" s="87"/>
      <c r="T109" s="87"/>
      <c r="U109" s="94" t="str">
        <f t="array" ref="U109">IFERROR(INDEX(DFD!$D$2:$D$1048791,MATCH($Q109,DFD!$B$2:$B$1048791,0)),"")</f>
        <v/>
      </c>
      <c r="V109" s="94" t="str">
        <f t="array" ref="V109">IFERROR(INDEX(DFD!$F$2:$F$1048791,MATCH($Q109,DFD!$B$2:$B$1048791,0)),"")</f>
        <v/>
      </c>
      <c r="W109" s="97" t="str">
        <f t="array" ref="W109">IFERROR(INDEX(DFD!$E$2:$E$1048791,MATCH($Q109,DFD!$B$2:$B$1048791,0)),"")</f>
        <v/>
      </c>
      <c r="X109" s="97" t="str">
        <f t="array" ref="X109">IFERROR(INDEX(DFD!$K$2:$K$1048791,MATCH($Q109,DFD!$B$2:$B$1048791,0)),"")</f>
        <v/>
      </c>
      <c r="Y109" s="97" t="str">
        <f t="array" ref="Y109">IFERROR(INDEX(DFD!$L$2:$L$1048790,MATCH($Q109,DFD!$B$2:$B$1048790,0)),"")</f>
        <v/>
      </c>
      <c r="Z109" s="97">
        <f t="shared" si="9"/>
        <v>45</v>
      </c>
      <c r="AA109" s="87"/>
      <c r="AB109" s="87" t="s">
        <v>78</v>
      </c>
      <c r="AC109" s="87"/>
      <c r="AD109" s="99">
        <v>46043.0</v>
      </c>
      <c r="AE109" s="100">
        <f t="shared" si="8"/>
        <v>1</v>
      </c>
    </row>
    <row r="110" ht="51.75" customHeight="1">
      <c r="A110" s="67" t="s">
        <v>519</v>
      </c>
      <c r="B110" s="59" t="s">
        <v>98</v>
      </c>
      <c r="C110" s="60" t="s">
        <v>520</v>
      </c>
      <c r="D110" s="60" t="s">
        <v>51</v>
      </c>
      <c r="E110" s="60">
        <v>1.0</v>
      </c>
      <c r="F110" s="72">
        <v>3000.0</v>
      </c>
      <c r="G110" s="73" t="s">
        <v>53</v>
      </c>
      <c r="H110" s="74">
        <v>46174.0</v>
      </c>
      <c r="I110" s="67" t="s">
        <v>17</v>
      </c>
      <c r="J110" s="67" t="s">
        <v>54</v>
      </c>
      <c r="K110" s="67" t="s">
        <v>55</v>
      </c>
      <c r="L110" s="67" t="s">
        <v>56</v>
      </c>
      <c r="M110" s="73" t="s">
        <v>104</v>
      </c>
      <c r="N110" s="67" t="s">
        <v>20</v>
      </c>
      <c r="O110" s="67" t="s">
        <v>89</v>
      </c>
      <c r="P110" s="59"/>
      <c r="Q110" s="59" t="s">
        <v>521</v>
      </c>
      <c r="R110" s="76" t="s">
        <v>503</v>
      </c>
      <c r="S110" s="60"/>
      <c r="T110" s="59"/>
      <c r="U110" s="77" t="str">
        <f t="array" ref="U110">IFERROR(INDEX(DFD!$D$2:$D$1048791,MATCH($Q110,DFD!$B$2:$B$1048791,0)),"")</f>
        <v/>
      </c>
      <c r="V110" s="77" t="s">
        <v>280</v>
      </c>
      <c r="W110" s="84" t="str">
        <f t="array" ref="W110">IFERROR(INDEX(DFD!$E$2:$E$1048791,MATCH($Q110,DFD!$B$2:$B$1048791,0)),"")</f>
        <v/>
      </c>
      <c r="X110" s="84" t="str">
        <f t="array" ref="X110">IFERROR(INDEX(DFD!$K$2:$K$1048791,MATCH($Q110,DFD!$B$2:$B$1048791,0)),"")</f>
        <v/>
      </c>
      <c r="Y110" s="84" t="str">
        <f t="array" ref="Y110">IFERROR(INDEX(DFD!$L$2:$L$1048790,MATCH($Q110,DFD!$B$2:$B$1048790,0)),"")</f>
        <v/>
      </c>
      <c r="Z110" s="84">
        <f t="shared" si="9"/>
        <v>45</v>
      </c>
      <c r="AA110" s="59"/>
      <c r="AB110" s="59" t="s">
        <v>78</v>
      </c>
      <c r="AC110" s="59"/>
      <c r="AD110" s="85">
        <v>46043.0</v>
      </c>
      <c r="AE110" s="86">
        <f t="shared" si="8"/>
        <v>1</v>
      </c>
    </row>
    <row r="111" ht="77.25" customHeight="1">
      <c r="A111" s="92" t="s">
        <v>524</v>
      </c>
      <c r="B111" s="87" t="s">
        <v>109</v>
      </c>
      <c r="C111" s="88" t="s">
        <v>520</v>
      </c>
      <c r="D111" s="88" t="s">
        <v>51</v>
      </c>
      <c r="E111" s="88">
        <v>1.0</v>
      </c>
      <c r="F111" s="89">
        <v>1500.0</v>
      </c>
      <c r="G111" s="90" t="s">
        <v>53</v>
      </c>
      <c r="H111" s="91">
        <v>46174.0</v>
      </c>
      <c r="I111" s="92" t="s">
        <v>17</v>
      </c>
      <c r="J111" s="92" t="s">
        <v>54</v>
      </c>
      <c r="K111" s="92" t="s">
        <v>55</v>
      </c>
      <c r="L111" s="92" t="s">
        <v>56</v>
      </c>
      <c r="M111" s="90" t="s">
        <v>68</v>
      </c>
      <c r="N111" s="92" t="s">
        <v>20</v>
      </c>
      <c r="O111" s="87" t="s">
        <v>69</v>
      </c>
      <c r="P111" s="87"/>
      <c r="Q111" s="87" t="s">
        <v>521</v>
      </c>
      <c r="R111" s="93" t="s">
        <v>503</v>
      </c>
      <c r="S111" s="88"/>
      <c r="T111" s="87"/>
      <c r="U111" s="94" t="str">
        <f t="array" ref="U111">IFERROR(INDEX(DFD!$D$2:$D$1048791,MATCH($Q111,DFD!$B$2:$B$1048791,0)),"")</f>
        <v/>
      </c>
      <c r="V111" s="94" t="s">
        <v>280</v>
      </c>
      <c r="W111" s="97" t="str">
        <f t="array" ref="W111">IFERROR(INDEX(DFD!$E$2:$E$1048791,MATCH($Q111,DFD!$B$2:$B$1048791,0)),"")</f>
        <v/>
      </c>
      <c r="X111" s="97" t="str">
        <f t="array" ref="X111">IFERROR(INDEX(DFD!$K$2:$K$1048791,MATCH($Q111,DFD!$B$2:$B$1048791,0)),"")</f>
        <v/>
      </c>
      <c r="Y111" s="97" t="str">
        <f t="array" ref="Y111">IFERROR(INDEX(DFD!$L$2:$L$1048790,MATCH($Q111,DFD!$B$2:$B$1048790,0)),"")</f>
        <v/>
      </c>
      <c r="Z111" s="97">
        <f t="shared" si="9"/>
        <v>45</v>
      </c>
      <c r="AA111" s="87"/>
      <c r="AB111" s="87" t="s">
        <v>78</v>
      </c>
      <c r="AC111" s="87"/>
      <c r="AD111" s="99">
        <v>46043.0</v>
      </c>
      <c r="AE111" s="100">
        <f t="shared" si="8"/>
        <v>1</v>
      </c>
    </row>
    <row r="112" ht="77.25" customHeight="1">
      <c r="A112" s="67" t="s">
        <v>526</v>
      </c>
      <c r="B112" s="59" t="s">
        <v>184</v>
      </c>
      <c r="C112" s="60" t="s">
        <v>527</v>
      </c>
      <c r="D112" s="60" t="s">
        <v>51</v>
      </c>
      <c r="E112" s="60">
        <v>60.0</v>
      </c>
      <c r="F112" s="72">
        <v>1434.0</v>
      </c>
      <c r="G112" s="73" t="s">
        <v>53</v>
      </c>
      <c r="H112" s="74">
        <v>46174.0</v>
      </c>
      <c r="I112" s="67" t="s">
        <v>17</v>
      </c>
      <c r="J112" s="67" t="s">
        <v>54</v>
      </c>
      <c r="K112" s="67" t="s">
        <v>66</v>
      </c>
      <c r="L112" s="67" t="s">
        <v>67</v>
      </c>
      <c r="M112" s="73" t="s">
        <v>104</v>
      </c>
      <c r="N112" s="67" t="s">
        <v>20</v>
      </c>
      <c r="O112" s="59" t="s">
        <v>69</v>
      </c>
      <c r="P112" s="59"/>
      <c r="Q112" s="59" t="s">
        <v>268</v>
      </c>
      <c r="R112" s="76" t="s">
        <v>187</v>
      </c>
      <c r="S112" s="59"/>
      <c r="T112" s="59"/>
      <c r="U112" s="77" t="str">
        <f t="array" ref="U112">IFERROR(INDEX(DFD!$D$2:$D$1048791,MATCH($Q112,DFD!$B$2:$B$1048791,0)),"")</f>
        <v/>
      </c>
      <c r="V112" s="77" t="str">
        <f t="array" ref="V112">IFERROR(INDEX(DFD!$F$2:$F$1048791,MATCH($Q112,DFD!$B$2:$B$1048791,0)),"")</f>
        <v/>
      </c>
      <c r="W112" s="84" t="str">
        <f t="array" ref="W112">IFERROR(INDEX(DFD!$E$2:$E$1048791,MATCH($Q112,DFD!$B$2:$B$1048791,0)),"")</f>
        <v/>
      </c>
      <c r="X112" s="84" t="str">
        <f t="array" ref="X112">IFERROR(INDEX(DFD!$K$2:$K$1048791,MATCH($Q112,DFD!$B$2:$B$1048791,0)),"")</f>
        <v/>
      </c>
      <c r="Y112" s="84" t="str">
        <f t="array" ref="Y112">IFERROR(INDEX(DFD!$L$2:$L$1048790,MATCH($Q112,DFD!$B$2:$B$1048790,0)),"")</f>
        <v/>
      </c>
      <c r="Z112" s="84">
        <f t="shared" si="9"/>
        <v>45</v>
      </c>
      <c r="AA112" s="59"/>
      <c r="AB112" s="59" t="s">
        <v>78</v>
      </c>
      <c r="AC112" s="59"/>
      <c r="AD112" s="85">
        <v>46043.0</v>
      </c>
      <c r="AE112" s="86">
        <f t="shared" si="8"/>
        <v>1</v>
      </c>
    </row>
    <row r="113" ht="51.75" customHeight="1">
      <c r="A113" s="87" t="s">
        <v>532</v>
      </c>
      <c r="B113" s="87" t="s">
        <v>101</v>
      </c>
      <c r="C113" s="88" t="s">
        <v>533</v>
      </c>
      <c r="D113" s="88" t="s">
        <v>51</v>
      </c>
      <c r="E113" s="88">
        <v>5.0</v>
      </c>
      <c r="F113" s="89">
        <v>175.0</v>
      </c>
      <c r="G113" s="90" t="s">
        <v>53</v>
      </c>
      <c r="H113" s="91">
        <v>46143.0</v>
      </c>
      <c r="I113" s="92" t="s">
        <v>17</v>
      </c>
      <c r="J113" s="92" t="s">
        <v>54</v>
      </c>
      <c r="K113" s="92" t="s">
        <v>66</v>
      </c>
      <c r="L113" s="92" t="s">
        <v>56</v>
      </c>
      <c r="M113" s="90" t="s">
        <v>167</v>
      </c>
      <c r="N113" s="92" t="s">
        <v>58</v>
      </c>
      <c r="O113" s="92" t="s">
        <v>89</v>
      </c>
      <c r="P113" s="87"/>
      <c r="Q113" s="87" t="s">
        <v>534</v>
      </c>
      <c r="R113" s="93" t="s">
        <v>187</v>
      </c>
      <c r="S113" s="87"/>
      <c r="T113" s="87"/>
      <c r="U113" s="94" t="str">
        <f t="array" ref="U113">IFERROR(INDEX(DFD!$D$2:$D$1048791,MATCH($Q113,DFD!$B$2:$B$1048791,0)),"")</f>
        <v/>
      </c>
      <c r="V113" s="94" t="str">
        <f t="array" ref="V113">IFERROR(INDEX(DFD!$F$2:$F$1048791,MATCH($Q113,DFD!$B$2:$B$1048791,0)),"")</f>
        <v/>
      </c>
      <c r="W113" s="97" t="str">
        <f t="array" ref="W113">IFERROR(INDEX(DFD!$E$2:$E$1048791,MATCH($Q113,DFD!$B$2:$B$1048791,0)),"")</f>
        <v/>
      </c>
      <c r="X113" s="97" t="str">
        <f t="array" ref="X113">IFERROR(INDEX(DFD!$K$2:$K$1048791,MATCH($Q113,DFD!$B$2:$B$1048791,0)),"")</f>
        <v/>
      </c>
      <c r="Y113" s="97" t="str">
        <f t="array" ref="Y113">IFERROR(INDEX(DFD!$L$2:$L$1048790,MATCH($Q113,DFD!$B$2:$B$1048790,0)),"")</f>
        <v/>
      </c>
      <c r="Z113" s="97">
        <f t="shared" si="9"/>
        <v>45</v>
      </c>
      <c r="AA113" s="87"/>
      <c r="AB113" s="87" t="s">
        <v>78</v>
      </c>
      <c r="AC113" s="87"/>
      <c r="AD113" s="99">
        <v>46043.0</v>
      </c>
      <c r="AE113" s="100">
        <f t="shared" si="8"/>
        <v>1</v>
      </c>
    </row>
    <row r="114" ht="51.75" customHeight="1">
      <c r="A114" s="67" t="s">
        <v>536</v>
      </c>
      <c r="B114" s="59" t="s">
        <v>184</v>
      </c>
      <c r="C114" s="60" t="s">
        <v>537</v>
      </c>
      <c r="D114" s="60" t="s">
        <v>51</v>
      </c>
      <c r="E114" s="60">
        <v>100.0</v>
      </c>
      <c r="F114" s="72">
        <v>1354.0</v>
      </c>
      <c r="G114" s="73" t="s">
        <v>53</v>
      </c>
      <c r="H114" s="74">
        <v>46174.0</v>
      </c>
      <c r="I114" s="67" t="s">
        <v>17</v>
      </c>
      <c r="J114" s="67" t="s">
        <v>54</v>
      </c>
      <c r="K114" s="67" t="s">
        <v>66</v>
      </c>
      <c r="L114" s="67" t="s">
        <v>67</v>
      </c>
      <c r="M114" s="73" t="s">
        <v>112</v>
      </c>
      <c r="N114" s="67" t="s">
        <v>20</v>
      </c>
      <c r="O114" s="59" t="s">
        <v>69</v>
      </c>
      <c r="P114" s="59"/>
      <c r="Q114" s="59" t="s">
        <v>534</v>
      </c>
      <c r="R114" s="76" t="s">
        <v>187</v>
      </c>
      <c r="S114" s="59"/>
      <c r="T114" s="59"/>
      <c r="U114" s="77" t="str">
        <f t="array" ref="U114">IFERROR(INDEX(DFD!$D$2:$D$1048791,MATCH($Q114,DFD!$B$2:$B$1048791,0)),"")</f>
        <v/>
      </c>
      <c r="V114" s="77" t="str">
        <f t="array" ref="V114">IFERROR(INDEX(DFD!$F$2:$F$1048791,MATCH($Q114,DFD!$B$2:$B$1048791,0)),"")</f>
        <v/>
      </c>
      <c r="W114" s="84" t="str">
        <f t="array" ref="W114">IFERROR(INDEX(DFD!$E$2:$E$1048791,MATCH($Q114,DFD!$B$2:$B$1048791,0)),"")</f>
        <v/>
      </c>
      <c r="X114" s="84" t="str">
        <f t="array" ref="X114">IFERROR(INDEX(DFD!$K$2:$K$1048791,MATCH($Q114,DFD!$B$2:$B$1048791,0)),"")</f>
        <v/>
      </c>
      <c r="Y114" s="84" t="str">
        <f t="array" ref="Y114">IFERROR(INDEX(DFD!$L$2:$L$1048790,MATCH($Q114,DFD!$B$2:$B$1048790,0)),"")</f>
        <v/>
      </c>
      <c r="Z114" s="84">
        <f t="shared" si="9"/>
        <v>45</v>
      </c>
      <c r="AA114" s="59"/>
      <c r="AB114" s="59" t="s">
        <v>78</v>
      </c>
      <c r="AC114" s="59"/>
      <c r="AD114" s="85">
        <v>46043.0</v>
      </c>
      <c r="AE114" s="86">
        <f t="shared" si="8"/>
        <v>1</v>
      </c>
    </row>
    <row r="115" ht="77.25" customHeight="1">
      <c r="A115" s="87" t="s">
        <v>540</v>
      </c>
      <c r="B115" s="92" t="s">
        <v>101</v>
      </c>
      <c r="C115" s="88" t="s">
        <v>541</v>
      </c>
      <c r="D115" s="116" t="s">
        <v>51</v>
      </c>
      <c r="E115" s="116">
        <v>2.0</v>
      </c>
      <c r="F115" s="137">
        <v>4320.0</v>
      </c>
      <c r="G115" s="90" t="s">
        <v>53</v>
      </c>
      <c r="H115" s="118">
        <v>46204.0</v>
      </c>
      <c r="I115" s="92" t="s">
        <v>18</v>
      </c>
      <c r="J115" s="92" t="s">
        <v>54</v>
      </c>
      <c r="K115" s="92" t="s">
        <v>83</v>
      </c>
      <c r="L115" s="92" t="s">
        <v>56</v>
      </c>
      <c r="M115" s="90" t="s">
        <v>132</v>
      </c>
      <c r="N115" s="92" t="s">
        <v>58</v>
      </c>
      <c r="O115" s="87" t="s">
        <v>69</v>
      </c>
      <c r="P115" s="87"/>
      <c r="Q115" s="87" t="s">
        <v>180</v>
      </c>
      <c r="R115" s="93" t="s">
        <v>302</v>
      </c>
      <c r="S115" s="87"/>
      <c r="T115" s="87"/>
      <c r="U115" s="94" t="str">
        <f t="array" ref="U115">IFERROR(INDEX(DFD!$D$2:$D$1048791,MATCH($Q115,DFD!$B$2:$B$1048791,0)),"")</f>
        <v/>
      </c>
      <c r="V115" s="94" t="str">
        <f t="array" ref="V115">IFERROR(INDEX(DFD!$F$2:$F$1048791,MATCH($Q115,DFD!$B$2:$B$1048791,0)),"")</f>
        <v/>
      </c>
      <c r="W115" s="97" t="str">
        <f t="array" ref="W115">IFERROR(INDEX(DFD!$E$2:$E$1048791,MATCH($Q115,DFD!$B$2:$B$1048791,0)),"")</f>
        <v/>
      </c>
      <c r="X115" s="97" t="str">
        <f t="array" ref="X115">IFERROR(INDEX(DFD!$K$2:$K$1048791,MATCH($Q115,DFD!$B$2:$B$1048791,0)),"")</f>
        <v/>
      </c>
      <c r="Y115" s="97" t="str">
        <f t="array" ref="Y115">IFERROR(INDEX(DFD!$L$2:$L$1048790,MATCH($Q115,DFD!$B$2:$B$1048790,0)),"")</f>
        <v/>
      </c>
      <c r="Z115" s="97">
        <f t="shared" si="9"/>
        <v>45</v>
      </c>
      <c r="AA115" s="87"/>
      <c r="AB115" s="87" t="s">
        <v>78</v>
      </c>
      <c r="AC115" s="87"/>
      <c r="AD115" s="99">
        <v>46043.0</v>
      </c>
      <c r="AE115" s="100">
        <f t="shared" si="8"/>
        <v>1</v>
      </c>
    </row>
    <row r="116" ht="51.75" customHeight="1">
      <c r="A116" s="59" t="s">
        <v>545</v>
      </c>
      <c r="B116" s="59" t="s">
        <v>280</v>
      </c>
      <c r="C116" s="60" t="s">
        <v>546</v>
      </c>
      <c r="D116" s="60" t="s">
        <v>51</v>
      </c>
      <c r="E116" s="60">
        <v>1.0</v>
      </c>
      <c r="F116" s="72">
        <v>15000.0</v>
      </c>
      <c r="G116" s="73" t="s">
        <v>53</v>
      </c>
      <c r="H116" s="74">
        <v>46235.0</v>
      </c>
      <c r="I116" s="67" t="s">
        <v>17</v>
      </c>
      <c r="J116" s="67" t="s">
        <v>54</v>
      </c>
      <c r="K116" s="67" t="s">
        <v>548</v>
      </c>
      <c r="L116" s="67" t="s">
        <v>67</v>
      </c>
      <c r="M116" s="73" t="s">
        <v>167</v>
      </c>
      <c r="N116" s="67" t="s">
        <v>5</v>
      </c>
      <c r="O116" s="67" t="s">
        <v>89</v>
      </c>
      <c r="P116" s="59"/>
      <c r="Q116" s="59" t="s">
        <v>467</v>
      </c>
      <c r="R116" s="76" t="s">
        <v>164</v>
      </c>
      <c r="S116" s="59"/>
      <c r="T116" s="59"/>
      <c r="U116" s="77" t="str">
        <f t="array" ref="U116">IFERROR(INDEX(DFD!$D$2:$D$1048791,MATCH($Q116,DFD!$B$2:$B$1048791,0)),"")</f>
        <v/>
      </c>
      <c r="V116" s="77" t="str">
        <f t="array" ref="V116">IFERROR(INDEX(DFD!$F$2:$F$1048791,MATCH($Q116,DFD!$B$2:$B$1048791,0)),"")</f>
        <v/>
      </c>
      <c r="W116" s="84" t="str">
        <f t="array" ref="W116">IFERROR(INDEX(DFD!$E$2:$E$1048791,MATCH($Q116,DFD!$B$2:$B$1048791,0)),"")</f>
        <v/>
      </c>
      <c r="X116" s="84" t="str">
        <f t="array" ref="X116">IFERROR(INDEX(DFD!$K$2:$K$1048791,MATCH($Q116,DFD!$B$2:$B$1048791,0)),"")</f>
        <v/>
      </c>
      <c r="Y116" s="84" t="str">
        <f t="array" ref="Y116">IFERROR(INDEX(DFD!$L$2:$L$1048790,MATCH($Q116,DFD!$B$2:$B$1048790,0)),"")</f>
        <v/>
      </c>
      <c r="Z116" s="84">
        <f t="shared" si="9"/>
        <v>45</v>
      </c>
      <c r="AA116" s="59"/>
      <c r="AB116" s="59" t="s">
        <v>288</v>
      </c>
      <c r="AC116" s="59"/>
      <c r="AD116" s="85">
        <v>46043.0</v>
      </c>
      <c r="AE116" s="86">
        <f t="shared" si="8"/>
        <v>1</v>
      </c>
    </row>
    <row r="117" ht="51.75" customHeight="1">
      <c r="A117" s="87" t="s">
        <v>551</v>
      </c>
      <c r="B117" s="87" t="s">
        <v>52</v>
      </c>
      <c r="C117" s="88" t="s">
        <v>552</v>
      </c>
      <c r="D117" s="88" t="s">
        <v>51</v>
      </c>
      <c r="E117" s="88">
        <v>1.0</v>
      </c>
      <c r="F117" s="89">
        <v>20000.0</v>
      </c>
      <c r="G117" s="90" t="s">
        <v>53</v>
      </c>
      <c r="H117" s="91">
        <v>46174.0</v>
      </c>
      <c r="I117" s="92" t="s">
        <v>17</v>
      </c>
      <c r="J117" s="92" t="s">
        <v>54</v>
      </c>
      <c r="K117" s="92" t="s">
        <v>161</v>
      </c>
      <c r="L117" s="92" t="s">
        <v>67</v>
      </c>
      <c r="M117" s="90" t="s">
        <v>132</v>
      </c>
      <c r="N117" s="92" t="s">
        <v>58</v>
      </c>
      <c r="O117" s="87" t="s">
        <v>69</v>
      </c>
      <c r="P117" s="87"/>
      <c r="Q117" s="87" t="s">
        <v>52</v>
      </c>
      <c r="R117" s="148" t="s">
        <v>552</v>
      </c>
      <c r="S117" s="87"/>
      <c r="T117" s="87"/>
      <c r="U117" s="94"/>
      <c r="V117" s="94"/>
      <c r="W117" s="97"/>
      <c r="X117" s="97"/>
      <c r="Y117" s="97"/>
      <c r="Z117" s="97"/>
      <c r="AA117" s="87"/>
      <c r="AB117" s="87" t="s">
        <v>72</v>
      </c>
      <c r="AC117" s="87"/>
      <c r="AD117" s="99">
        <v>46043.0</v>
      </c>
      <c r="AE117" s="100">
        <f t="shared" si="8"/>
        <v>1</v>
      </c>
    </row>
    <row r="118" ht="77.25" customHeight="1">
      <c r="A118" s="59" t="s">
        <v>553</v>
      </c>
      <c r="B118" s="59" t="s">
        <v>277</v>
      </c>
      <c r="C118" s="60" t="s">
        <v>554</v>
      </c>
      <c r="D118" s="60" t="s">
        <v>51</v>
      </c>
      <c r="E118" s="60">
        <v>25.0</v>
      </c>
      <c r="F118" s="72">
        <v>50.0</v>
      </c>
      <c r="G118" s="73" t="s">
        <v>53</v>
      </c>
      <c r="H118" s="74">
        <v>46143.0</v>
      </c>
      <c r="I118" s="67" t="s">
        <v>17</v>
      </c>
      <c r="J118" s="67" t="s">
        <v>54</v>
      </c>
      <c r="K118" s="67" t="s">
        <v>66</v>
      </c>
      <c r="L118" s="67" t="s">
        <v>67</v>
      </c>
      <c r="M118" s="73" t="s">
        <v>117</v>
      </c>
      <c r="N118" s="67" t="s">
        <v>5</v>
      </c>
      <c r="O118" s="59" t="s">
        <v>69</v>
      </c>
      <c r="P118" s="59"/>
      <c r="Q118" s="59" t="s">
        <v>268</v>
      </c>
      <c r="R118" s="76" t="s">
        <v>269</v>
      </c>
      <c r="S118" s="120"/>
      <c r="T118" s="59"/>
      <c r="U118" s="77" t="str">
        <f t="array" ref="U118">IFERROR(INDEX(DFD!$D$2:$D$1048791,MATCH($Q118,DFD!$B$2:$B$1048791,0)),"")</f>
        <v/>
      </c>
      <c r="V118" s="77" t="str">
        <f t="array" ref="V118">IFERROR(INDEX(DFD!$F$2:$F$1048791,MATCH($Q118,DFD!$B$2:$B$1048791,0)),"")</f>
        <v/>
      </c>
      <c r="W118" s="84" t="str">
        <f t="array" ref="W118">IFERROR(INDEX(DFD!$E$2:$E$1048791,MATCH($Q118,DFD!$B$2:$B$1048791,0)),"")</f>
        <v/>
      </c>
      <c r="X118" s="84" t="str">
        <f t="array" ref="X118">IFERROR(INDEX(DFD!$K$2:$K$1048791,MATCH($Q118,DFD!$B$2:$B$1048791,0)),"")</f>
        <v/>
      </c>
      <c r="Y118" s="84" t="str">
        <f t="array" ref="Y118">IFERROR(INDEX(DFD!$L$2:$L$1048790,MATCH($Q118,DFD!$B$2:$B$1048790,0)),"")</f>
        <v/>
      </c>
      <c r="Z118" s="84">
        <f t="shared" ref="Z118:Z240" si="10">Y118+45</f>
        <v>45</v>
      </c>
      <c r="AA118" s="59"/>
      <c r="AB118" s="59" t="s">
        <v>78</v>
      </c>
      <c r="AC118" s="59"/>
      <c r="AD118" s="85">
        <v>46043.0</v>
      </c>
      <c r="AE118" s="86">
        <f t="shared" si="8"/>
        <v>1</v>
      </c>
    </row>
    <row r="119" ht="89.25" customHeight="1">
      <c r="A119" s="87" t="s">
        <v>556</v>
      </c>
      <c r="B119" s="87" t="s">
        <v>148</v>
      </c>
      <c r="C119" s="88" t="s">
        <v>557</v>
      </c>
      <c r="D119" s="88" t="s">
        <v>51</v>
      </c>
      <c r="E119" s="88">
        <v>15.0</v>
      </c>
      <c r="F119" s="89">
        <v>475.5</v>
      </c>
      <c r="G119" s="90" t="s">
        <v>53</v>
      </c>
      <c r="H119" s="91">
        <v>46174.0</v>
      </c>
      <c r="I119" s="92" t="s">
        <v>17</v>
      </c>
      <c r="J119" s="92" t="s">
        <v>54</v>
      </c>
      <c r="K119" s="92" t="s">
        <v>66</v>
      </c>
      <c r="L119" s="92" t="s">
        <v>67</v>
      </c>
      <c r="M119" s="90" t="s">
        <v>167</v>
      </c>
      <c r="N119" s="92" t="s">
        <v>5</v>
      </c>
      <c r="O119" s="92" t="s">
        <v>89</v>
      </c>
      <c r="P119" s="87"/>
      <c r="Q119" s="87" t="s">
        <v>331</v>
      </c>
      <c r="R119" s="93" t="s">
        <v>269</v>
      </c>
      <c r="S119" s="129"/>
      <c r="T119" s="87"/>
      <c r="U119" s="94" t="str">
        <f t="array" ref="U119">IFERROR(INDEX(DFD!$D$2:$D$1048791,MATCH($Q119,DFD!$B$2:$B$1048791,0)),"")</f>
        <v/>
      </c>
      <c r="V119" s="94" t="str">
        <f t="array" ref="V119">IFERROR(INDEX(DFD!$F$2:$F$1048791,MATCH($Q119,DFD!$B$2:$B$1048791,0)),"")</f>
        <v/>
      </c>
      <c r="W119" s="97" t="str">
        <f t="array" ref="W119">IFERROR(INDEX(DFD!$E$2:$E$1048791,MATCH($Q119,DFD!$B$2:$B$1048791,0)),"")</f>
        <v/>
      </c>
      <c r="X119" s="97" t="str">
        <f t="array" ref="X119">IFERROR(INDEX(DFD!$K$2:$K$1048791,MATCH($Q119,DFD!$B$2:$B$1048791,0)),"")</f>
        <v/>
      </c>
      <c r="Y119" s="97" t="str">
        <f t="array" ref="Y119">IFERROR(INDEX(DFD!$L$2:$L$1048790,MATCH($Q119,DFD!$B$2:$B$1048790,0)),"")</f>
        <v/>
      </c>
      <c r="Z119" s="97">
        <f t="shared" si="10"/>
        <v>45</v>
      </c>
      <c r="AA119" s="87"/>
      <c r="AB119" s="87" t="s">
        <v>78</v>
      </c>
      <c r="AC119" s="87"/>
      <c r="AD119" s="99">
        <v>46043.0</v>
      </c>
      <c r="AE119" s="100">
        <f t="shared" si="8"/>
        <v>1</v>
      </c>
    </row>
    <row r="120" ht="15.75" customHeight="1">
      <c r="A120" s="67" t="s">
        <v>562</v>
      </c>
      <c r="B120" s="59" t="s">
        <v>184</v>
      </c>
      <c r="C120" s="60" t="s">
        <v>563</v>
      </c>
      <c r="D120" s="60" t="s">
        <v>51</v>
      </c>
      <c r="E120" s="60">
        <v>35.0</v>
      </c>
      <c r="F120" s="72">
        <v>6300.0</v>
      </c>
      <c r="G120" s="73" t="s">
        <v>53</v>
      </c>
      <c r="H120" s="74">
        <v>46204.0</v>
      </c>
      <c r="I120" s="67" t="s">
        <v>17</v>
      </c>
      <c r="J120" s="67" t="s">
        <v>54</v>
      </c>
      <c r="K120" s="67" t="s">
        <v>66</v>
      </c>
      <c r="L120" s="67" t="s">
        <v>67</v>
      </c>
      <c r="M120" s="73" t="s">
        <v>167</v>
      </c>
      <c r="N120" s="67" t="s">
        <v>20</v>
      </c>
      <c r="O120" s="59" t="s">
        <v>69</v>
      </c>
      <c r="P120" s="59"/>
      <c r="Q120" s="59" t="s">
        <v>564</v>
      </c>
      <c r="R120" s="76" t="s">
        <v>565</v>
      </c>
      <c r="S120" s="120"/>
      <c r="T120" s="59"/>
      <c r="U120" s="77" t="str">
        <f t="array" ref="U120">IFERROR(INDEX(DFD!$D$2:$D$1048791,MATCH($Q120,DFD!$B$2:$B$1048791,0)),"")</f>
        <v/>
      </c>
      <c r="V120" s="77" t="s">
        <v>280</v>
      </c>
      <c r="W120" s="84" t="str">
        <f t="array" ref="W120">IFERROR(INDEX(DFD!$E$2:$E$1048791,MATCH($Q120,DFD!$B$2:$B$1048791,0)),"")</f>
        <v/>
      </c>
      <c r="X120" s="84" t="str">
        <f t="array" ref="X120">IFERROR(INDEX(DFD!$K$2:$K$1048791,MATCH($Q120,DFD!$B$2:$B$1048791,0)),"")</f>
        <v/>
      </c>
      <c r="Y120" s="84" t="str">
        <f t="array" ref="Y120">IFERROR(INDEX(DFD!$L$2:$L$1048790,MATCH($Q120,DFD!$B$2:$B$1048790,0)),"")</f>
        <v/>
      </c>
      <c r="Z120" s="84">
        <f t="shared" si="10"/>
        <v>45</v>
      </c>
      <c r="AA120" s="59"/>
      <c r="AB120" s="59" t="s">
        <v>78</v>
      </c>
      <c r="AC120" s="59"/>
      <c r="AD120" s="85">
        <v>46043.0</v>
      </c>
      <c r="AE120" s="86">
        <f t="shared" si="8"/>
        <v>1</v>
      </c>
    </row>
    <row r="121" ht="15.75" customHeight="1">
      <c r="A121" s="92" t="s">
        <v>566</v>
      </c>
      <c r="B121" s="87" t="s">
        <v>184</v>
      </c>
      <c r="C121" s="88" t="s">
        <v>567</v>
      </c>
      <c r="D121" s="88" t="s">
        <v>51</v>
      </c>
      <c r="E121" s="88">
        <v>50.0</v>
      </c>
      <c r="F121" s="89">
        <v>9000.0</v>
      </c>
      <c r="G121" s="90" t="s">
        <v>53</v>
      </c>
      <c r="H121" s="91">
        <v>46204.0</v>
      </c>
      <c r="I121" s="92" t="s">
        <v>17</v>
      </c>
      <c r="J121" s="92" t="s">
        <v>54</v>
      </c>
      <c r="K121" s="92" t="s">
        <v>66</v>
      </c>
      <c r="L121" s="92" t="s">
        <v>67</v>
      </c>
      <c r="M121" s="90" t="s">
        <v>167</v>
      </c>
      <c r="N121" s="92" t="s">
        <v>20</v>
      </c>
      <c r="O121" s="87" t="s">
        <v>69</v>
      </c>
      <c r="P121" s="87"/>
      <c r="Q121" s="87" t="s">
        <v>564</v>
      </c>
      <c r="R121" s="93" t="s">
        <v>565</v>
      </c>
      <c r="S121" s="129"/>
      <c r="T121" s="87"/>
      <c r="U121" s="94" t="str">
        <f t="array" ref="U121">IFERROR(INDEX(DFD!$D$2:$D$1048791,MATCH($Q121,DFD!$B$2:$B$1048791,0)),"")</f>
        <v/>
      </c>
      <c r="V121" s="94" t="s">
        <v>280</v>
      </c>
      <c r="W121" s="97" t="str">
        <f t="array" ref="W121">IFERROR(INDEX(DFD!$E$2:$E$1048791,MATCH($Q121,DFD!$B$2:$B$1048791,0)),"")</f>
        <v/>
      </c>
      <c r="X121" s="97" t="str">
        <f t="array" ref="X121">IFERROR(INDEX(DFD!$K$2:$K$1048791,MATCH($Q121,DFD!$B$2:$B$1048791,0)),"")</f>
        <v/>
      </c>
      <c r="Y121" s="97" t="str">
        <f t="array" ref="Y121">IFERROR(INDEX(DFD!$L$2:$L$1048790,MATCH($Q121,DFD!$B$2:$B$1048790,0)),"")</f>
        <v/>
      </c>
      <c r="Z121" s="97">
        <f t="shared" si="10"/>
        <v>45</v>
      </c>
      <c r="AA121" s="87"/>
      <c r="AB121" s="87" t="s">
        <v>78</v>
      </c>
      <c r="AC121" s="87"/>
      <c r="AD121" s="99">
        <v>46043.0</v>
      </c>
      <c r="AE121" s="100">
        <f t="shared" si="8"/>
        <v>1</v>
      </c>
    </row>
    <row r="122" ht="15.75" customHeight="1">
      <c r="A122" s="67" t="s">
        <v>570</v>
      </c>
      <c r="B122" s="71" t="s">
        <v>184</v>
      </c>
      <c r="C122" s="60" t="s">
        <v>571</v>
      </c>
      <c r="D122" s="60" t="s">
        <v>51</v>
      </c>
      <c r="E122" s="60">
        <v>3.0</v>
      </c>
      <c r="F122" s="72">
        <v>540.0</v>
      </c>
      <c r="G122" s="73" t="s">
        <v>53</v>
      </c>
      <c r="H122" s="74">
        <v>46174.0</v>
      </c>
      <c r="I122" s="67" t="s">
        <v>17</v>
      </c>
      <c r="J122" s="67" t="s">
        <v>54</v>
      </c>
      <c r="K122" s="67" t="s">
        <v>66</v>
      </c>
      <c r="L122" s="67" t="s">
        <v>67</v>
      </c>
      <c r="M122" s="73" t="s">
        <v>167</v>
      </c>
      <c r="N122" s="67" t="s">
        <v>20</v>
      </c>
      <c r="O122" s="67" t="s">
        <v>89</v>
      </c>
      <c r="P122" s="59"/>
      <c r="Q122" s="59" t="s">
        <v>564</v>
      </c>
      <c r="R122" s="76" t="s">
        <v>565</v>
      </c>
      <c r="S122" s="120"/>
      <c r="T122" s="59"/>
      <c r="U122" s="77" t="str">
        <f t="array" ref="U122">IFERROR(INDEX(DFD!$D$2:$D$1048791,MATCH($Q122,DFD!$B$2:$B$1048791,0)),"")</f>
        <v/>
      </c>
      <c r="V122" s="77" t="s">
        <v>280</v>
      </c>
      <c r="W122" s="84" t="str">
        <f t="array" ref="W122">IFERROR(INDEX(DFD!$E$2:$E$1048791,MATCH($Q122,DFD!$B$2:$B$1048791,0)),"")</f>
        <v/>
      </c>
      <c r="X122" s="84" t="str">
        <f t="array" ref="X122">IFERROR(INDEX(DFD!$K$2:$K$1048791,MATCH($Q122,DFD!$B$2:$B$1048791,0)),"")</f>
        <v/>
      </c>
      <c r="Y122" s="84" t="str">
        <f t="array" ref="Y122">IFERROR(INDEX(DFD!$L$2:$L$1048790,MATCH($Q122,DFD!$B$2:$B$1048790,0)),"")</f>
        <v/>
      </c>
      <c r="Z122" s="84">
        <f t="shared" si="10"/>
        <v>45</v>
      </c>
      <c r="AA122" s="59"/>
      <c r="AB122" s="59" t="s">
        <v>78</v>
      </c>
      <c r="AC122" s="59"/>
      <c r="AD122" s="85">
        <v>46043.0</v>
      </c>
      <c r="AE122" s="86">
        <f t="shared" si="8"/>
        <v>1</v>
      </c>
    </row>
    <row r="123" ht="15.75" customHeight="1">
      <c r="A123" s="92" t="s">
        <v>572</v>
      </c>
      <c r="B123" s="87" t="s">
        <v>184</v>
      </c>
      <c r="C123" s="88" t="s">
        <v>573</v>
      </c>
      <c r="D123" s="88" t="s">
        <v>51</v>
      </c>
      <c r="E123" s="88">
        <v>50.0</v>
      </c>
      <c r="F123" s="89">
        <v>9000.0</v>
      </c>
      <c r="G123" s="90" t="s">
        <v>53</v>
      </c>
      <c r="H123" s="91">
        <v>46204.0</v>
      </c>
      <c r="I123" s="92" t="s">
        <v>17</v>
      </c>
      <c r="J123" s="92" t="s">
        <v>54</v>
      </c>
      <c r="K123" s="92" t="s">
        <v>66</v>
      </c>
      <c r="L123" s="92" t="s">
        <v>67</v>
      </c>
      <c r="M123" s="90" t="s">
        <v>167</v>
      </c>
      <c r="N123" s="92" t="s">
        <v>20</v>
      </c>
      <c r="O123" s="87" t="s">
        <v>69</v>
      </c>
      <c r="P123" s="87"/>
      <c r="Q123" s="87" t="s">
        <v>564</v>
      </c>
      <c r="R123" s="93" t="s">
        <v>565</v>
      </c>
      <c r="S123" s="129"/>
      <c r="T123" s="87"/>
      <c r="U123" s="94" t="str">
        <f t="array" ref="U123">IFERROR(INDEX(DFD!$D$2:$D$1048791,MATCH($Q123,DFD!$B$2:$B$1048791,0)),"")</f>
        <v/>
      </c>
      <c r="V123" s="94" t="s">
        <v>280</v>
      </c>
      <c r="W123" s="97" t="str">
        <f t="array" ref="W123">IFERROR(INDEX(DFD!$E$2:$E$1048791,MATCH($Q123,DFD!$B$2:$B$1048791,0)),"")</f>
        <v/>
      </c>
      <c r="X123" s="97" t="str">
        <f t="array" ref="X123">IFERROR(INDEX(DFD!$K$2:$K$1048791,MATCH($Q123,DFD!$B$2:$B$1048791,0)),"")</f>
        <v/>
      </c>
      <c r="Y123" s="97" t="str">
        <f t="array" ref="Y123">IFERROR(INDEX(DFD!$L$2:$L$1048790,MATCH($Q123,DFD!$B$2:$B$1048790,0)),"")</f>
        <v/>
      </c>
      <c r="Z123" s="97">
        <f t="shared" si="10"/>
        <v>45</v>
      </c>
      <c r="AA123" s="87"/>
      <c r="AB123" s="87" t="s">
        <v>78</v>
      </c>
      <c r="AC123" s="87"/>
      <c r="AD123" s="99">
        <v>46043.0</v>
      </c>
      <c r="AE123" s="100">
        <f t="shared" si="8"/>
        <v>1</v>
      </c>
    </row>
    <row r="124" ht="15.75" customHeight="1">
      <c r="A124" s="59" t="s">
        <v>574</v>
      </c>
      <c r="B124" s="59" t="s">
        <v>148</v>
      </c>
      <c r="C124" s="60" t="s">
        <v>575</v>
      </c>
      <c r="D124" s="60" t="s">
        <v>51</v>
      </c>
      <c r="E124" s="60">
        <v>2.0</v>
      </c>
      <c r="F124" s="72">
        <v>200.0</v>
      </c>
      <c r="G124" s="73" t="s">
        <v>53</v>
      </c>
      <c r="H124" s="74">
        <v>46143.0</v>
      </c>
      <c r="I124" s="67" t="s">
        <v>17</v>
      </c>
      <c r="J124" s="67" t="s">
        <v>54</v>
      </c>
      <c r="K124" s="67" t="s">
        <v>66</v>
      </c>
      <c r="L124" s="67" t="s">
        <v>67</v>
      </c>
      <c r="M124" s="73" t="s">
        <v>57</v>
      </c>
      <c r="N124" s="67" t="s">
        <v>5</v>
      </c>
      <c r="O124" s="59" t="s">
        <v>69</v>
      </c>
      <c r="P124" s="59"/>
      <c r="Q124" s="59" t="s">
        <v>576</v>
      </c>
      <c r="R124" s="76" t="s">
        <v>577</v>
      </c>
      <c r="S124" s="120"/>
      <c r="T124" s="59"/>
      <c r="U124" s="77" t="str">
        <f t="array" ref="U124">IFERROR(INDEX(DFD!$D$2:$D$1048791,MATCH($Q124,DFD!$B$2:$B$1048791,0)),"")</f>
        <v/>
      </c>
      <c r="V124" s="77" t="s">
        <v>280</v>
      </c>
      <c r="W124" s="84" t="str">
        <f t="array" ref="W124">IFERROR(INDEX(DFD!$E$2:$E$1048791,MATCH($Q124,DFD!$B$2:$B$1048791,0)),"")</f>
        <v/>
      </c>
      <c r="X124" s="84" t="str">
        <f t="array" ref="X124">IFERROR(INDEX(DFD!$K$2:$K$1048791,MATCH($Q124,DFD!$B$2:$B$1048791,0)),"")</f>
        <v/>
      </c>
      <c r="Y124" s="84" t="str">
        <f t="array" ref="Y124">IFERROR(INDEX(DFD!$L$2:$L$1048790,MATCH($Q124,DFD!$B$2:$B$1048790,0)),"")</f>
        <v/>
      </c>
      <c r="Z124" s="84">
        <f t="shared" si="10"/>
        <v>45</v>
      </c>
      <c r="AA124" s="59"/>
      <c r="AB124" s="59" t="s">
        <v>78</v>
      </c>
      <c r="AC124" s="59"/>
      <c r="AD124" s="85">
        <v>46043.0</v>
      </c>
      <c r="AE124" s="86">
        <f t="shared" si="8"/>
        <v>1</v>
      </c>
    </row>
    <row r="125" ht="15.75" customHeight="1">
      <c r="A125" s="87" t="s">
        <v>580</v>
      </c>
      <c r="B125" s="87" t="s">
        <v>148</v>
      </c>
      <c r="C125" s="88" t="s">
        <v>581</v>
      </c>
      <c r="D125" s="88" t="s">
        <v>51</v>
      </c>
      <c r="E125" s="88">
        <v>4.0</v>
      </c>
      <c r="F125" s="89">
        <v>100.0</v>
      </c>
      <c r="G125" s="90" t="s">
        <v>53</v>
      </c>
      <c r="H125" s="91">
        <v>46143.0</v>
      </c>
      <c r="I125" s="92" t="s">
        <v>17</v>
      </c>
      <c r="J125" s="92" t="s">
        <v>54</v>
      </c>
      <c r="K125" s="92" t="s">
        <v>66</v>
      </c>
      <c r="L125" s="92" t="s">
        <v>67</v>
      </c>
      <c r="M125" s="90" t="s">
        <v>132</v>
      </c>
      <c r="N125" s="92" t="s">
        <v>5</v>
      </c>
      <c r="O125" s="92" t="s">
        <v>89</v>
      </c>
      <c r="P125" s="87"/>
      <c r="Q125" s="87" t="s">
        <v>576</v>
      </c>
      <c r="R125" s="93" t="s">
        <v>577</v>
      </c>
      <c r="S125" s="129"/>
      <c r="T125" s="87"/>
      <c r="U125" s="94" t="str">
        <f t="array" ref="U125">IFERROR(INDEX(DFD!$D$2:$D$1048791,MATCH($Q125,DFD!$B$2:$B$1048791,0)),"")</f>
        <v/>
      </c>
      <c r="V125" s="94" t="s">
        <v>280</v>
      </c>
      <c r="W125" s="97" t="str">
        <f t="array" ref="W125">IFERROR(INDEX(DFD!$E$2:$E$1048791,MATCH($Q125,DFD!$B$2:$B$1048791,0)),"")</f>
        <v/>
      </c>
      <c r="X125" s="97" t="str">
        <f t="array" ref="X125">IFERROR(INDEX(DFD!$K$2:$K$1048791,MATCH($Q125,DFD!$B$2:$B$1048791,0)),"")</f>
        <v/>
      </c>
      <c r="Y125" s="97" t="str">
        <f t="array" ref="Y125">IFERROR(INDEX(DFD!$L$2:$L$1048790,MATCH($Q125,DFD!$B$2:$B$1048790,0)),"")</f>
        <v/>
      </c>
      <c r="Z125" s="97">
        <f t="shared" si="10"/>
        <v>45</v>
      </c>
      <c r="AA125" s="87"/>
      <c r="AB125" s="87" t="s">
        <v>78</v>
      </c>
      <c r="AC125" s="87"/>
      <c r="AD125" s="99">
        <v>46043.0</v>
      </c>
      <c r="AE125" s="100">
        <f t="shared" si="8"/>
        <v>1</v>
      </c>
    </row>
    <row r="126" ht="15.75" customHeight="1">
      <c r="A126" s="67" t="s">
        <v>583</v>
      </c>
      <c r="B126" s="59" t="s">
        <v>184</v>
      </c>
      <c r="C126" s="60" t="s">
        <v>584</v>
      </c>
      <c r="D126" s="60" t="s">
        <v>51</v>
      </c>
      <c r="E126" s="60">
        <v>10.0</v>
      </c>
      <c r="F126" s="72">
        <v>183.0</v>
      </c>
      <c r="G126" s="73" t="s">
        <v>53</v>
      </c>
      <c r="H126" s="74">
        <v>46143.0</v>
      </c>
      <c r="I126" s="67" t="s">
        <v>17</v>
      </c>
      <c r="J126" s="67" t="s">
        <v>54</v>
      </c>
      <c r="K126" s="67" t="s">
        <v>66</v>
      </c>
      <c r="L126" s="67" t="s">
        <v>67</v>
      </c>
      <c r="M126" s="73" t="s">
        <v>132</v>
      </c>
      <c r="N126" s="67" t="s">
        <v>20</v>
      </c>
      <c r="O126" s="59" t="s">
        <v>69</v>
      </c>
      <c r="P126" s="59"/>
      <c r="Q126" s="59" t="s">
        <v>286</v>
      </c>
      <c r="R126" s="76" t="s">
        <v>287</v>
      </c>
      <c r="S126" s="120"/>
      <c r="T126" s="59"/>
      <c r="U126" s="77" t="str">
        <f t="array" ref="U126">IFERROR(INDEX(DFD!$D$2:$D$1048791,MATCH($Q126,DFD!$B$2:$B$1048791,0)),"")</f>
        <v/>
      </c>
      <c r="V126" s="77" t="str">
        <f t="array" ref="V126">IFERROR(INDEX(DFD!$F$2:$F$1048791,MATCH($Q126,DFD!$B$2:$B$1048791,0)),"")</f>
        <v/>
      </c>
      <c r="W126" s="84" t="str">
        <f t="array" ref="W126">IFERROR(INDEX(DFD!$E$2:$E$1048791,MATCH($Q126,DFD!$B$2:$B$1048791,0)),"")</f>
        <v/>
      </c>
      <c r="X126" s="84" t="str">
        <f t="array" ref="X126">IFERROR(INDEX(DFD!$K$2:$K$1048791,MATCH($Q126,DFD!$B$2:$B$1048791,0)),"")</f>
        <v/>
      </c>
      <c r="Y126" s="84" t="str">
        <f t="array" ref="Y126">IFERROR(INDEX(DFD!$L$2:$L$1048790,MATCH($Q126,DFD!$B$2:$B$1048790,0)),"")</f>
        <v/>
      </c>
      <c r="Z126" s="84">
        <f t="shared" si="10"/>
        <v>45</v>
      </c>
      <c r="AA126" s="59"/>
      <c r="AB126" s="59" t="s">
        <v>288</v>
      </c>
      <c r="AC126" s="59"/>
      <c r="AD126" s="85">
        <v>46043.0</v>
      </c>
      <c r="AE126" s="86">
        <f t="shared" si="8"/>
        <v>1</v>
      </c>
    </row>
    <row r="127" ht="15.75" customHeight="1">
      <c r="A127" s="87" t="s">
        <v>586</v>
      </c>
      <c r="B127" s="87" t="s">
        <v>123</v>
      </c>
      <c r="C127" s="88" t="s">
        <v>587</v>
      </c>
      <c r="D127" s="88" t="s">
        <v>51</v>
      </c>
      <c r="E127" s="88">
        <v>5.0</v>
      </c>
      <c r="F127" s="89">
        <v>4500.0</v>
      </c>
      <c r="G127" s="90" t="s">
        <v>53</v>
      </c>
      <c r="H127" s="91">
        <v>46204.0</v>
      </c>
      <c r="I127" s="92" t="s">
        <v>17</v>
      </c>
      <c r="J127" s="92" t="s">
        <v>54</v>
      </c>
      <c r="K127" s="92" t="s">
        <v>66</v>
      </c>
      <c r="L127" s="92" t="s">
        <v>67</v>
      </c>
      <c r="M127" s="90" t="s">
        <v>132</v>
      </c>
      <c r="N127" s="92" t="s">
        <v>5</v>
      </c>
      <c r="O127" s="87" t="s">
        <v>69</v>
      </c>
      <c r="P127" s="87"/>
      <c r="Q127" s="87" t="s">
        <v>351</v>
      </c>
      <c r="R127" s="93" t="s">
        <v>71</v>
      </c>
      <c r="S127" s="129"/>
      <c r="T127" s="87"/>
      <c r="U127" s="94" t="str">
        <f t="array" ref="U127">IFERROR(INDEX(DFD!$D$2:$D$1048791,MATCH($Q127,DFD!$B$2:$B$1048791,0)),"")</f>
        <v/>
      </c>
      <c r="V127" s="94" t="s">
        <v>280</v>
      </c>
      <c r="W127" s="97" t="str">
        <f t="array" ref="W127">IFERROR(INDEX(DFD!$E$2:$E$1048791,MATCH($Q127,DFD!$B$2:$B$1048791,0)),"")</f>
        <v/>
      </c>
      <c r="X127" s="97" t="str">
        <f t="array" ref="X127">IFERROR(INDEX(DFD!$K$2:$K$1048791,MATCH($Q127,DFD!$B$2:$B$1048791,0)),"")</f>
        <v/>
      </c>
      <c r="Y127" s="97" t="str">
        <f t="array" ref="Y127">IFERROR(INDEX(DFD!$L$2:$L$1048790,MATCH($Q127,DFD!$B$2:$B$1048790,0)),"")</f>
        <v/>
      </c>
      <c r="Z127" s="97">
        <f t="shared" si="10"/>
        <v>45</v>
      </c>
      <c r="AA127" s="87"/>
      <c r="AB127" s="87" t="s">
        <v>78</v>
      </c>
      <c r="AC127" s="87"/>
      <c r="AD127" s="99">
        <v>46043.0</v>
      </c>
      <c r="AE127" s="100">
        <f t="shared" si="8"/>
        <v>1</v>
      </c>
    </row>
    <row r="128" ht="15.75" customHeight="1">
      <c r="A128" s="59" t="s">
        <v>590</v>
      </c>
      <c r="B128" s="71" t="s">
        <v>95</v>
      </c>
      <c r="C128" s="60" t="s">
        <v>587</v>
      </c>
      <c r="D128" s="60" t="s">
        <v>51</v>
      </c>
      <c r="E128" s="60">
        <v>5.0</v>
      </c>
      <c r="F128" s="72">
        <v>4500.0</v>
      </c>
      <c r="G128" s="73" t="s">
        <v>53</v>
      </c>
      <c r="H128" s="74">
        <v>46204.0</v>
      </c>
      <c r="I128" s="67" t="s">
        <v>17</v>
      </c>
      <c r="J128" s="67" t="s">
        <v>54</v>
      </c>
      <c r="K128" s="67" t="s">
        <v>66</v>
      </c>
      <c r="L128" s="67" t="s">
        <v>67</v>
      </c>
      <c r="M128" s="73" t="s">
        <v>132</v>
      </c>
      <c r="N128" s="67" t="s">
        <v>5</v>
      </c>
      <c r="O128" s="67" t="s">
        <v>89</v>
      </c>
      <c r="P128" s="59"/>
      <c r="Q128" s="59" t="s">
        <v>351</v>
      </c>
      <c r="R128" s="76" t="s">
        <v>71</v>
      </c>
      <c r="S128" s="120"/>
      <c r="T128" s="59"/>
      <c r="U128" s="77" t="str">
        <f t="array" ref="U128">IFERROR(INDEX(DFD!$D$2:$D$1048791,MATCH($Q128,DFD!$B$2:$B$1048791,0)),"")</f>
        <v/>
      </c>
      <c r="V128" s="77" t="s">
        <v>280</v>
      </c>
      <c r="W128" s="84" t="str">
        <f t="array" ref="W128">IFERROR(INDEX(DFD!$E$2:$E$1048791,MATCH($Q128,DFD!$B$2:$B$1048791,0)),"")</f>
        <v/>
      </c>
      <c r="X128" s="84" t="str">
        <f t="array" ref="X128">IFERROR(INDEX(DFD!$K$2:$K$1048791,MATCH($Q128,DFD!$B$2:$B$1048791,0)),"")</f>
        <v/>
      </c>
      <c r="Y128" s="84" t="str">
        <f t="array" ref="Y128">IFERROR(INDEX(DFD!$L$2:$L$1048790,MATCH($Q128,DFD!$B$2:$B$1048790,0)),"")</f>
        <v/>
      </c>
      <c r="Z128" s="84">
        <f t="shared" si="10"/>
        <v>45</v>
      </c>
      <c r="AA128" s="59"/>
      <c r="AB128" s="59" t="s">
        <v>78</v>
      </c>
      <c r="AC128" s="59"/>
      <c r="AD128" s="85">
        <v>46043.0</v>
      </c>
      <c r="AE128" s="86">
        <f t="shared" si="8"/>
        <v>1</v>
      </c>
    </row>
    <row r="129" ht="15.75" customHeight="1">
      <c r="A129" s="87" t="s">
        <v>591</v>
      </c>
      <c r="B129" s="87" t="s">
        <v>80</v>
      </c>
      <c r="C129" s="88" t="s">
        <v>587</v>
      </c>
      <c r="D129" s="88" t="s">
        <v>51</v>
      </c>
      <c r="E129" s="88">
        <v>3.0</v>
      </c>
      <c r="F129" s="89">
        <v>2700.0</v>
      </c>
      <c r="G129" s="90" t="s">
        <v>53</v>
      </c>
      <c r="H129" s="91">
        <v>46174.0</v>
      </c>
      <c r="I129" s="92" t="s">
        <v>17</v>
      </c>
      <c r="J129" s="92" t="s">
        <v>54</v>
      </c>
      <c r="K129" s="92" t="s">
        <v>66</v>
      </c>
      <c r="L129" s="92" t="s">
        <v>67</v>
      </c>
      <c r="M129" s="90" t="s">
        <v>132</v>
      </c>
      <c r="N129" s="92" t="s">
        <v>5</v>
      </c>
      <c r="O129" s="87" t="s">
        <v>69</v>
      </c>
      <c r="P129" s="87"/>
      <c r="Q129" s="87" t="s">
        <v>351</v>
      </c>
      <c r="R129" s="93" t="s">
        <v>71</v>
      </c>
      <c r="S129" s="129"/>
      <c r="T129" s="87"/>
      <c r="U129" s="94" t="str">
        <f t="array" ref="U129">IFERROR(INDEX(DFD!$D$2:$D$1048791,MATCH($Q129,DFD!$B$2:$B$1048791,0)),"")</f>
        <v/>
      </c>
      <c r="V129" s="94" t="s">
        <v>280</v>
      </c>
      <c r="W129" s="97" t="str">
        <f t="array" ref="W129">IFERROR(INDEX(DFD!$E$2:$E$1048791,MATCH($Q129,DFD!$B$2:$B$1048791,0)),"")</f>
        <v/>
      </c>
      <c r="X129" s="97" t="str">
        <f t="array" ref="X129">IFERROR(INDEX(DFD!$K$2:$K$1048791,MATCH($Q129,DFD!$B$2:$B$1048791,0)),"")</f>
        <v/>
      </c>
      <c r="Y129" s="97" t="str">
        <f t="array" ref="Y129">IFERROR(INDEX(DFD!$L$2:$L$1048790,MATCH($Q129,DFD!$B$2:$B$1048790,0)),"")</f>
        <v/>
      </c>
      <c r="Z129" s="97">
        <f t="shared" si="10"/>
        <v>45</v>
      </c>
      <c r="AA129" s="87"/>
      <c r="AB129" s="87" t="s">
        <v>78</v>
      </c>
      <c r="AC129" s="87"/>
      <c r="AD129" s="99">
        <v>46043.0</v>
      </c>
      <c r="AE129" s="100">
        <f t="shared" si="8"/>
        <v>1</v>
      </c>
    </row>
    <row r="130" ht="15.75" customHeight="1">
      <c r="A130" s="59" t="s">
        <v>592</v>
      </c>
      <c r="B130" s="59" t="s">
        <v>107</v>
      </c>
      <c r="C130" s="60" t="s">
        <v>587</v>
      </c>
      <c r="D130" s="60" t="s">
        <v>51</v>
      </c>
      <c r="E130" s="60">
        <v>3.0</v>
      </c>
      <c r="F130" s="72">
        <v>2700.0</v>
      </c>
      <c r="G130" s="73" t="s">
        <v>53</v>
      </c>
      <c r="H130" s="74">
        <v>46174.0</v>
      </c>
      <c r="I130" s="67" t="s">
        <v>17</v>
      </c>
      <c r="J130" s="67" t="s">
        <v>54</v>
      </c>
      <c r="K130" s="67" t="s">
        <v>66</v>
      </c>
      <c r="L130" s="67" t="s">
        <v>67</v>
      </c>
      <c r="M130" s="73" t="s">
        <v>132</v>
      </c>
      <c r="N130" s="67" t="s">
        <v>5</v>
      </c>
      <c r="O130" s="59" t="s">
        <v>69</v>
      </c>
      <c r="P130" s="59"/>
      <c r="Q130" s="59" t="s">
        <v>351</v>
      </c>
      <c r="R130" s="76" t="s">
        <v>71</v>
      </c>
      <c r="S130" s="120"/>
      <c r="T130" s="59"/>
      <c r="U130" s="77" t="str">
        <f t="array" ref="U130">IFERROR(INDEX(DFD!$D$2:$D$1048791,MATCH($Q130,DFD!$B$2:$B$1048791,0)),"")</f>
        <v/>
      </c>
      <c r="V130" s="77" t="s">
        <v>280</v>
      </c>
      <c r="W130" s="84" t="str">
        <f t="array" ref="W130">IFERROR(INDEX(DFD!$E$2:$E$1048791,MATCH($Q130,DFD!$B$2:$B$1048791,0)),"")</f>
        <v/>
      </c>
      <c r="X130" s="84" t="str">
        <f t="array" ref="X130">IFERROR(INDEX(DFD!$K$2:$K$1048791,MATCH($Q130,DFD!$B$2:$B$1048791,0)),"")</f>
        <v/>
      </c>
      <c r="Y130" s="84" t="str">
        <f t="array" ref="Y130">IFERROR(INDEX(DFD!$L$2:$L$1048790,MATCH($Q130,DFD!$B$2:$B$1048790,0)),"")</f>
        <v/>
      </c>
      <c r="Z130" s="84">
        <f t="shared" si="10"/>
        <v>45</v>
      </c>
      <c r="AA130" s="59"/>
      <c r="AB130" s="59" t="s">
        <v>78</v>
      </c>
      <c r="AC130" s="59"/>
      <c r="AD130" s="85">
        <v>46043.0</v>
      </c>
      <c r="AE130" s="86">
        <f t="shared" si="8"/>
        <v>1</v>
      </c>
    </row>
    <row r="131" ht="15.75" customHeight="1">
      <c r="A131" s="87" t="s">
        <v>593</v>
      </c>
      <c r="B131" s="87" t="s">
        <v>172</v>
      </c>
      <c r="C131" s="88" t="s">
        <v>587</v>
      </c>
      <c r="D131" s="88" t="s">
        <v>51</v>
      </c>
      <c r="E131" s="88">
        <v>1.0</v>
      </c>
      <c r="F131" s="89">
        <v>900.0</v>
      </c>
      <c r="G131" s="90" t="s">
        <v>53</v>
      </c>
      <c r="H131" s="91">
        <v>46174.0</v>
      </c>
      <c r="I131" s="92" t="s">
        <v>17</v>
      </c>
      <c r="J131" s="92" t="s">
        <v>54</v>
      </c>
      <c r="K131" s="92" t="s">
        <v>66</v>
      </c>
      <c r="L131" s="92" t="s">
        <v>67</v>
      </c>
      <c r="M131" s="90" t="s">
        <v>132</v>
      </c>
      <c r="N131" s="92" t="s">
        <v>5</v>
      </c>
      <c r="O131" s="92" t="s">
        <v>89</v>
      </c>
      <c r="P131" s="87"/>
      <c r="Q131" s="87" t="s">
        <v>351</v>
      </c>
      <c r="R131" s="93" t="s">
        <v>71</v>
      </c>
      <c r="S131" s="129"/>
      <c r="T131" s="87"/>
      <c r="U131" s="94" t="str">
        <f t="array" ref="U131">IFERROR(INDEX(DFD!$D$2:$D$1048791,MATCH($Q131,DFD!$B$2:$B$1048791,0)),"")</f>
        <v/>
      </c>
      <c r="V131" s="94" t="s">
        <v>280</v>
      </c>
      <c r="W131" s="97" t="str">
        <f t="array" ref="W131">IFERROR(INDEX(DFD!$E$2:$E$1048791,MATCH($Q131,DFD!$B$2:$B$1048791,0)),"")</f>
        <v/>
      </c>
      <c r="X131" s="97" t="str">
        <f t="array" ref="X131">IFERROR(INDEX(DFD!$K$2:$K$1048791,MATCH($Q131,DFD!$B$2:$B$1048791,0)),"")</f>
        <v/>
      </c>
      <c r="Y131" s="97" t="str">
        <f t="array" ref="Y131">IFERROR(INDEX(DFD!$L$2:$L$1048790,MATCH($Q131,DFD!$B$2:$B$1048790,0)),"")</f>
        <v/>
      </c>
      <c r="Z131" s="97">
        <f t="shared" si="10"/>
        <v>45</v>
      </c>
      <c r="AA131" s="87"/>
      <c r="AB131" s="87" t="s">
        <v>78</v>
      </c>
      <c r="AC131" s="87"/>
      <c r="AD131" s="99">
        <v>46043.0</v>
      </c>
      <c r="AE131" s="100">
        <f t="shared" si="8"/>
        <v>1</v>
      </c>
    </row>
    <row r="132" ht="15.75" customHeight="1">
      <c r="A132" s="59" t="s">
        <v>594</v>
      </c>
      <c r="B132" s="59" t="s">
        <v>98</v>
      </c>
      <c r="C132" s="60" t="s">
        <v>587</v>
      </c>
      <c r="D132" s="60" t="s">
        <v>51</v>
      </c>
      <c r="E132" s="60">
        <v>1.0</v>
      </c>
      <c r="F132" s="72">
        <v>900.0</v>
      </c>
      <c r="G132" s="73" t="s">
        <v>53</v>
      </c>
      <c r="H132" s="74">
        <v>46174.0</v>
      </c>
      <c r="I132" s="67" t="s">
        <v>17</v>
      </c>
      <c r="J132" s="67" t="s">
        <v>54</v>
      </c>
      <c r="K132" s="67" t="s">
        <v>66</v>
      </c>
      <c r="L132" s="67" t="s">
        <v>67</v>
      </c>
      <c r="M132" s="73" t="s">
        <v>132</v>
      </c>
      <c r="N132" s="67" t="s">
        <v>5</v>
      </c>
      <c r="O132" s="59" t="s">
        <v>69</v>
      </c>
      <c r="P132" s="59"/>
      <c r="Q132" s="59" t="s">
        <v>351</v>
      </c>
      <c r="R132" s="76" t="s">
        <v>71</v>
      </c>
      <c r="S132" s="120"/>
      <c r="T132" s="59"/>
      <c r="U132" s="77" t="str">
        <f t="array" ref="U132">IFERROR(INDEX(DFD!$D$2:$D$1048791,MATCH($Q132,DFD!$B$2:$B$1048791,0)),"")</f>
        <v/>
      </c>
      <c r="V132" s="77" t="s">
        <v>280</v>
      </c>
      <c r="W132" s="84" t="str">
        <f t="array" ref="W132">IFERROR(INDEX(DFD!$E$2:$E$1048791,MATCH($Q132,DFD!$B$2:$B$1048791,0)),"")</f>
        <v/>
      </c>
      <c r="X132" s="84" t="str">
        <f t="array" ref="X132">IFERROR(INDEX(DFD!$K$2:$K$1048791,MATCH($Q132,DFD!$B$2:$B$1048791,0)),"")</f>
        <v/>
      </c>
      <c r="Y132" s="84" t="str">
        <f t="array" ref="Y132">IFERROR(INDEX(DFD!$L$2:$L$1048790,MATCH($Q132,DFD!$B$2:$B$1048790,0)),"")</f>
        <v/>
      </c>
      <c r="Z132" s="84">
        <f t="shared" si="10"/>
        <v>45</v>
      </c>
      <c r="AA132" s="59"/>
      <c r="AB132" s="59" t="s">
        <v>78</v>
      </c>
      <c r="AC132" s="59"/>
      <c r="AD132" s="85">
        <v>46043.0</v>
      </c>
      <c r="AE132" s="86">
        <f t="shared" si="8"/>
        <v>1</v>
      </c>
    </row>
    <row r="133" ht="15.75" customHeight="1">
      <c r="A133" s="87" t="s">
        <v>596</v>
      </c>
      <c r="B133" s="87" t="s">
        <v>92</v>
      </c>
      <c r="C133" s="88" t="s">
        <v>597</v>
      </c>
      <c r="D133" s="88" t="s">
        <v>51</v>
      </c>
      <c r="E133" s="88">
        <v>4.0</v>
      </c>
      <c r="F133" s="89">
        <v>1160.0</v>
      </c>
      <c r="G133" s="90" t="s">
        <v>53</v>
      </c>
      <c r="H133" s="91">
        <v>46174.0</v>
      </c>
      <c r="I133" s="92" t="s">
        <v>17</v>
      </c>
      <c r="J133" s="92" t="s">
        <v>54</v>
      </c>
      <c r="K133" s="92" t="s">
        <v>66</v>
      </c>
      <c r="L133" s="92" t="s">
        <v>67</v>
      </c>
      <c r="M133" s="90" t="s">
        <v>57</v>
      </c>
      <c r="N133" s="92" t="s">
        <v>5</v>
      </c>
      <c r="O133" s="87" t="s">
        <v>69</v>
      </c>
      <c r="P133" s="87"/>
      <c r="Q133" s="87" t="s">
        <v>326</v>
      </c>
      <c r="R133" s="93" t="s">
        <v>71</v>
      </c>
      <c r="S133" s="129"/>
      <c r="T133" s="87"/>
      <c r="U133" s="94" t="str">
        <f t="array" ref="U133">IFERROR(INDEX(DFD!$D$2:$D$1048791,MATCH($Q133,DFD!$B$2:$B$1048791,0)),"")</f>
        <v/>
      </c>
      <c r="V133" s="94" t="s">
        <v>280</v>
      </c>
      <c r="W133" s="97" t="str">
        <f t="array" ref="W133">IFERROR(INDEX(DFD!$E$2:$E$1048791,MATCH($Q133,DFD!$B$2:$B$1048791,0)),"")</f>
        <v/>
      </c>
      <c r="X133" s="97" t="str">
        <f t="array" ref="X133">IFERROR(INDEX(DFD!$K$2:$K$1048791,MATCH($Q133,DFD!$B$2:$B$1048791,0)),"")</f>
        <v/>
      </c>
      <c r="Y133" s="97" t="str">
        <f t="array" ref="Y133">IFERROR(INDEX(DFD!$L$2:$L$1048790,MATCH($Q133,DFD!$B$2:$B$1048790,0)),"")</f>
        <v/>
      </c>
      <c r="Z133" s="97">
        <f t="shared" si="10"/>
        <v>45</v>
      </c>
      <c r="AA133" s="87"/>
      <c r="AB133" s="87" t="s">
        <v>78</v>
      </c>
      <c r="AC133" s="87"/>
      <c r="AD133" s="99">
        <v>46043.0</v>
      </c>
      <c r="AE133" s="100">
        <f t="shared" si="8"/>
        <v>1</v>
      </c>
    </row>
    <row r="134" ht="15.75" customHeight="1">
      <c r="A134" s="59" t="s">
        <v>598</v>
      </c>
      <c r="B134" s="59" t="s">
        <v>107</v>
      </c>
      <c r="C134" s="60" t="s">
        <v>597</v>
      </c>
      <c r="D134" s="60" t="s">
        <v>51</v>
      </c>
      <c r="E134" s="60">
        <v>4.0</v>
      </c>
      <c r="F134" s="72">
        <v>1160.0</v>
      </c>
      <c r="G134" s="73" t="s">
        <v>53</v>
      </c>
      <c r="H134" s="74">
        <v>46174.0</v>
      </c>
      <c r="I134" s="67" t="s">
        <v>17</v>
      </c>
      <c r="J134" s="67" t="s">
        <v>54</v>
      </c>
      <c r="K134" s="67" t="s">
        <v>66</v>
      </c>
      <c r="L134" s="67" t="s">
        <v>67</v>
      </c>
      <c r="M134" s="73" t="s">
        <v>57</v>
      </c>
      <c r="N134" s="67" t="s">
        <v>5</v>
      </c>
      <c r="O134" s="67" t="s">
        <v>89</v>
      </c>
      <c r="P134" s="59"/>
      <c r="Q134" s="59" t="s">
        <v>326</v>
      </c>
      <c r="R134" s="76" t="s">
        <v>71</v>
      </c>
      <c r="S134" s="120"/>
      <c r="T134" s="59"/>
      <c r="U134" s="77" t="str">
        <f t="array" ref="U134">IFERROR(INDEX(DFD!$D$2:$D$1048791,MATCH($Q134,DFD!$B$2:$B$1048791,0)),"")</f>
        <v/>
      </c>
      <c r="V134" s="77" t="s">
        <v>280</v>
      </c>
      <c r="W134" s="84" t="str">
        <f t="array" ref="W134">IFERROR(INDEX(DFD!$E$2:$E$1048791,MATCH($Q134,DFD!$B$2:$B$1048791,0)),"")</f>
        <v/>
      </c>
      <c r="X134" s="84" t="str">
        <f t="array" ref="X134">IFERROR(INDEX(DFD!$K$2:$K$1048791,MATCH($Q134,DFD!$B$2:$B$1048791,0)),"")</f>
        <v/>
      </c>
      <c r="Y134" s="84" t="str">
        <f t="array" ref="Y134">IFERROR(INDEX(DFD!$L$2:$L$1048790,MATCH($Q134,DFD!$B$2:$B$1048790,0)),"")</f>
        <v/>
      </c>
      <c r="Z134" s="84">
        <f t="shared" si="10"/>
        <v>45</v>
      </c>
      <c r="AA134" s="59"/>
      <c r="AB134" s="59" t="s">
        <v>78</v>
      </c>
      <c r="AC134" s="59"/>
      <c r="AD134" s="85">
        <v>46043.0</v>
      </c>
      <c r="AE134" s="86">
        <f t="shared" si="8"/>
        <v>1</v>
      </c>
    </row>
    <row r="135" ht="15.75" customHeight="1">
      <c r="A135" s="87" t="s">
        <v>599</v>
      </c>
      <c r="B135" s="87" t="s">
        <v>80</v>
      </c>
      <c r="C135" s="88" t="s">
        <v>597</v>
      </c>
      <c r="D135" s="88" t="s">
        <v>51</v>
      </c>
      <c r="E135" s="88">
        <v>3.0</v>
      </c>
      <c r="F135" s="89">
        <v>870.0</v>
      </c>
      <c r="G135" s="90" t="s">
        <v>53</v>
      </c>
      <c r="H135" s="91">
        <v>46174.0</v>
      </c>
      <c r="I135" s="92" t="s">
        <v>17</v>
      </c>
      <c r="J135" s="92" t="s">
        <v>54</v>
      </c>
      <c r="K135" s="92" t="s">
        <v>66</v>
      </c>
      <c r="L135" s="92" t="s">
        <v>67</v>
      </c>
      <c r="M135" s="90" t="s">
        <v>57</v>
      </c>
      <c r="N135" s="92" t="s">
        <v>5</v>
      </c>
      <c r="O135" s="87" t="s">
        <v>69</v>
      </c>
      <c r="P135" s="87"/>
      <c r="Q135" s="87" t="s">
        <v>326</v>
      </c>
      <c r="R135" s="93" t="s">
        <v>71</v>
      </c>
      <c r="S135" s="129"/>
      <c r="T135" s="87"/>
      <c r="U135" s="94" t="str">
        <f t="array" ref="U135">IFERROR(INDEX(DFD!$D$2:$D$1048791,MATCH($Q135,DFD!$B$2:$B$1048791,0)),"")</f>
        <v/>
      </c>
      <c r="V135" s="94" t="s">
        <v>280</v>
      </c>
      <c r="W135" s="97" t="str">
        <f t="array" ref="W135">IFERROR(INDEX(DFD!$E$2:$E$1048791,MATCH($Q135,DFD!$B$2:$B$1048791,0)),"")</f>
        <v/>
      </c>
      <c r="X135" s="97" t="str">
        <f t="array" ref="X135">IFERROR(INDEX(DFD!$K$2:$K$1048791,MATCH($Q135,DFD!$B$2:$B$1048791,0)),"")</f>
        <v/>
      </c>
      <c r="Y135" s="97" t="str">
        <f t="array" ref="Y135">IFERROR(INDEX(DFD!$L$2:$L$1048790,MATCH($Q135,DFD!$B$2:$B$1048790,0)),"")</f>
        <v/>
      </c>
      <c r="Z135" s="97">
        <f t="shared" si="10"/>
        <v>45</v>
      </c>
      <c r="AA135" s="87"/>
      <c r="AB135" s="87" t="s">
        <v>78</v>
      </c>
      <c r="AC135" s="87"/>
      <c r="AD135" s="99">
        <v>46043.0</v>
      </c>
      <c r="AE135" s="100">
        <f t="shared" si="8"/>
        <v>1</v>
      </c>
    </row>
    <row r="136" ht="15.75" customHeight="1">
      <c r="A136" s="59" t="s">
        <v>601</v>
      </c>
      <c r="B136" s="59" t="s">
        <v>602</v>
      </c>
      <c r="C136" s="60" t="s">
        <v>597</v>
      </c>
      <c r="D136" s="60" t="s">
        <v>51</v>
      </c>
      <c r="E136" s="60">
        <v>2.0</v>
      </c>
      <c r="F136" s="72">
        <v>580.0</v>
      </c>
      <c r="G136" s="73" t="s">
        <v>53</v>
      </c>
      <c r="H136" s="74">
        <v>46174.0</v>
      </c>
      <c r="I136" s="67" t="s">
        <v>17</v>
      </c>
      <c r="J136" s="67" t="s">
        <v>54</v>
      </c>
      <c r="K136" s="67" t="s">
        <v>66</v>
      </c>
      <c r="L136" s="67" t="s">
        <v>67</v>
      </c>
      <c r="M136" s="73" t="s">
        <v>57</v>
      </c>
      <c r="N136" s="67" t="s">
        <v>5</v>
      </c>
      <c r="O136" s="59" t="s">
        <v>69</v>
      </c>
      <c r="P136" s="59"/>
      <c r="Q136" s="59" t="s">
        <v>326</v>
      </c>
      <c r="R136" s="76" t="s">
        <v>71</v>
      </c>
      <c r="S136" s="120"/>
      <c r="T136" s="59"/>
      <c r="U136" s="77" t="str">
        <f t="array" ref="U136">IFERROR(INDEX(DFD!$D$2:$D$1048791,MATCH($Q136,DFD!$B$2:$B$1048791,0)),"")</f>
        <v/>
      </c>
      <c r="V136" s="77" t="s">
        <v>280</v>
      </c>
      <c r="W136" s="84" t="str">
        <f t="array" ref="W136">IFERROR(INDEX(DFD!$E$2:$E$1048791,MATCH($Q136,DFD!$B$2:$B$1048791,0)),"")</f>
        <v/>
      </c>
      <c r="X136" s="84" t="str">
        <f t="array" ref="X136">IFERROR(INDEX(DFD!$K$2:$K$1048791,MATCH($Q136,DFD!$B$2:$B$1048791,0)),"")</f>
        <v/>
      </c>
      <c r="Y136" s="84" t="str">
        <f t="array" ref="Y136">IFERROR(INDEX(DFD!$L$2:$L$1048790,MATCH($Q136,DFD!$B$2:$B$1048790,0)),"")</f>
        <v/>
      </c>
      <c r="Z136" s="84">
        <f t="shared" si="10"/>
        <v>45</v>
      </c>
      <c r="AA136" s="59"/>
      <c r="AB136" s="59" t="s">
        <v>78</v>
      </c>
      <c r="AC136" s="59"/>
      <c r="AD136" s="85">
        <v>46043.0</v>
      </c>
      <c r="AE136" s="86">
        <f t="shared" si="8"/>
        <v>1</v>
      </c>
    </row>
    <row r="137" ht="15.75" customHeight="1">
      <c r="A137" s="92" t="s">
        <v>604</v>
      </c>
      <c r="B137" s="87" t="s">
        <v>602</v>
      </c>
      <c r="C137" s="88" t="s">
        <v>605</v>
      </c>
      <c r="D137" s="88" t="s">
        <v>51</v>
      </c>
      <c r="E137" s="88">
        <v>2.0</v>
      </c>
      <c r="F137" s="89">
        <v>5900.0</v>
      </c>
      <c r="G137" s="90" t="s">
        <v>53</v>
      </c>
      <c r="H137" s="91">
        <v>46204.0</v>
      </c>
      <c r="I137" s="92" t="s">
        <v>17</v>
      </c>
      <c r="J137" s="92" t="s">
        <v>54</v>
      </c>
      <c r="K137" s="92" t="s">
        <v>66</v>
      </c>
      <c r="L137" s="92" t="s">
        <v>56</v>
      </c>
      <c r="M137" s="90" t="s">
        <v>112</v>
      </c>
      <c r="N137" s="92" t="s">
        <v>20</v>
      </c>
      <c r="O137" s="92" t="s">
        <v>89</v>
      </c>
      <c r="P137" s="87"/>
      <c r="Q137" s="87" t="s">
        <v>606</v>
      </c>
      <c r="R137" s="93" t="s">
        <v>402</v>
      </c>
      <c r="S137" s="87"/>
      <c r="T137" s="87"/>
      <c r="U137" s="94" t="str">
        <f t="array" ref="U137">IFERROR(INDEX(DFD!$D$2:$D$1048791,MATCH($Q137,DFD!$B$2:$B$1048791,0)),"")</f>
        <v/>
      </c>
      <c r="V137" s="94" t="str">
        <f t="array" ref="V137">IFERROR(INDEX(DFD!$F$2:$F$1048791,MATCH($Q160,DFD!$B$2:$B$1048791,0)),"")</f>
        <v/>
      </c>
      <c r="W137" s="97" t="str">
        <f t="array" ref="W137">IFERROR(INDEX(DFD!$E$2:$E$1048791,MATCH($Q160,DFD!$B$2:$B$1048791,0)),"")</f>
        <v/>
      </c>
      <c r="X137" s="97" t="str">
        <f t="array" ref="X137">IFERROR(INDEX(DFD!$K$2:$K$1048791,MATCH($Q160,DFD!$B$2:$B$1048791,0)),"")</f>
        <v/>
      </c>
      <c r="Y137" s="97" t="str">
        <f t="array" ref="Y137">IFERROR(INDEX(DFD!$L$2:$L$1048790,MATCH($Q160,DFD!$B$2:$B$1048790,0)),"")</f>
        <v/>
      </c>
      <c r="Z137" s="97">
        <f t="shared" si="10"/>
        <v>45</v>
      </c>
      <c r="AA137" s="87"/>
      <c r="AB137" s="87" t="s">
        <v>78</v>
      </c>
      <c r="AC137" s="87"/>
      <c r="AD137" s="99">
        <v>46043.0</v>
      </c>
      <c r="AE137" s="100">
        <f t="shared" si="8"/>
        <v>1</v>
      </c>
    </row>
    <row r="138" ht="15.75" customHeight="1">
      <c r="A138" s="67" t="s">
        <v>608</v>
      </c>
      <c r="B138" s="67" t="s">
        <v>602</v>
      </c>
      <c r="C138" s="60" t="s">
        <v>605</v>
      </c>
      <c r="D138" s="81" t="s">
        <v>51</v>
      </c>
      <c r="E138" s="81">
        <v>2.0</v>
      </c>
      <c r="F138" s="101">
        <v>5900.0</v>
      </c>
      <c r="G138" s="73" t="s">
        <v>53</v>
      </c>
      <c r="H138" s="83">
        <v>46204.0</v>
      </c>
      <c r="I138" s="67" t="s">
        <v>17</v>
      </c>
      <c r="J138" s="67" t="s">
        <v>54</v>
      </c>
      <c r="K138" s="67" t="s">
        <v>66</v>
      </c>
      <c r="L138" s="67" t="s">
        <v>56</v>
      </c>
      <c r="M138" s="73" t="s">
        <v>112</v>
      </c>
      <c r="N138" s="67" t="s">
        <v>20</v>
      </c>
      <c r="O138" s="59" t="s">
        <v>69</v>
      </c>
      <c r="P138" s="59"/>
      <c r="Q138" s="59" t="s">
        <v>606</v>
      </c>
      <c r="R138" s="76" t="s">
        <v>402</v>
      </c>
      <c r="S138" s="59"/>
      <c r="T138" s="59"/>
      <c r="U138" s="77" t="str">
        <f t="array" ref="U138">IFERROR(INDEX(DFD!$D$2:$D$1048791,MATCH($Q138,DFD!$B$2:$B$1048791,0)),"")</f>
        <v/>
      </c>
      <c r="V138" s="77" t="str">
        <f t="array" ref="V138">IFERROR(INDEX(DFD!$F$2:$F$1048791,MATCH($Q138,DFD!$B$2:$B$1048791,0)),"")</f>
        <v/>
      </c>
      <c r="W138" s="84" t="str">
        <f t="array" ref="W138">IFERROR(INDEX(DFD!$E$2:$E$1048791,MATCH($Q138,DFD!$B$2:$B$1048791,0)),"")</f>
        <v/>
      </c>
      <c r="X138" s="84" t="str">
        <f t="array" ref="X138">IFERROR(INDEX(DFD!$K$2:$K$1048791,MATCH($Q138,DFD!$B$2:$B$1048791,0)),"")</f>
        <v/>
      </c>
      <c r="Y138" s="84" t="str">
        <f t="array" ref="Y138">IFERROR(INDEX(DFD!$L$2:$L$1048790,MATCH($Q138,DFD!$B$2:$B$1048790,0)),"")</f>
        <v/>
      </c>
      <c r="Z138" s="84">
        <f t="shared" si="10"/>
        <v>45</v>
      </c>
      <c r="AA138" s="59"/>
      <c r="AB138" s="59" t="s">
        <v>78</v>
      </c>
      <c r="AC138" s="59"/>
      <c r="AD138" s="85">
        <v>46043.0</v>
      </c>
      <c r="AE138" s="86">
        <f t="shared" si="8"/>
        <v>1</v>
      </c>
    </row>
    <row r="139" ht="15.75" customHeight="1">
      <c r="A139" s="87" t="s">
        <v>610</v>
      </c>
      <c r="B139" s="87" t="s">
        <v>49</v>
      </c>
      <c r="C139" s="88" t="s">
        <v>611</v>
      </c>
      <c r="D139" s="88" t="s">
        <v>51</v>
      </c>
      <c r="E139" s="88">
        <v>12.0</v>
      </c>
      <c r="F139" s="89">
        <v>30000.0</v>
      </c>
      <c r="G139" s="90" t="s">
        <v>53</v>
      </c>
      <c r="H139" s="91">
        <v>46235.0</v>
      </c>
      <c r="I139" s="92" t="s">
        <v>17</v>
      </c>
      <c r="J139" s="92" t="s">
        <v>54</v>
      </c>
      <c r="K139" s="92" t="s">
        <v>66</v>
      </c>
      <c r="L139" s="92" t="s">
        <v>56</v>
      </c>
      <c r="M139" s="90" t="s">
        <v>68</v>
      </c>
      <c r="N139" s="92" t="s">
        <v>58</v>
      </c>
      <c r="O139" s="87" t="s">
        <v>69</v>
      </c>
      <c r="P139" s="87"/>
      <c r="Q139" s="87" t="s">
        <v>133</v>
      </c>
      <c r="R139" s="93" t="s">
        <v>379</v>
      </c>
      <c r="S139" s="87"/>
      <c r="T139" s="87"/>
      <c r="U139" s="94" t="str">
        <f t="array" ref="U139">IFERROR(INDEX(DFD!$D$2:$D$1048791,MATCH($Q139,DFD!$B$2:$B$1048791,0)),"")</f>
        <v/>
      </c>
      <c r="V139" s="94" t="s">
        <v>62</v>
      </c>
      <c r="W139" s="97" t="str">
        <f t="array" ref="W139">IFERROR(INDEX(DFD!$E$2:$E$1048791,MATCH($Q139,DFD!$B$2:$B$1048791,0)),"")</f>
        <v/>
      </c>
      <c r="X139" s="97" t="str">
        <f t="array" ref="X139">IFERROR(INDEX(DFD!$K$2:$K$1048791,MATCH($Q139,DFD!$B$2:$B$1048791,0)),"")</f>
        <v/>
      </c>
      <c r="Y139" s="97" t="str">
        <f t="array" ref="Y139">IFERROR(INDEX(DFD!$L$2:$L$1048790,MATCH($Q139,DFD!$B$2:$B$1048790,0)),"")</f>
        <v/>
      </c>
      <c r="Z139" s="97">
        <f t="shared" si="10"/>
        <v>45</v>
      </c>
      <c r="AA139" s="87"/>
      <c r="AB139" s="87" t="s">
        <v>78</v>
      </c>
      <c r="AC139" s="87"/>
      <c r="AD139" s="99">
        <v>46043.0</v>
      </c>
      <c r="AE139" s="100">
        <f t="shared" si="8"/>
        <v>1</v>
      </c>
    </row>
    <row r="140" ht="15.75" customHeight="1">
      <c r="A140" s="59" t="s">
        <v>613</v>
      </c>
      <c r="B140" s="59" t="s">
        <v>95</v>
      </c>
      <c r="C140" s="60" t="s">
        <v>614</v>
      </c>
      <c r="D140" s="60" t="s">
        <v>51</v>
      </c>
      <c r="E140" s="60">
        <v>2.0</v>
      </c>
      <c r="F140" s="72">
        <v>4800.0</v>
      </c>
      <c r="G140" s="73" t="s">
        <v>53</v>
      </c>
      <c r="H140" s="74">
        <v>46204.0</v>
      </c>
      <c r="I140" s="67" t="s">
        <v>17</v>
      </c>
      <c r="J140" s="67" t="s">
        <v>54</v>
      </c>
      <c r="K140" s="67" t="s">
        <v>66</v>
      </c>
      <c r="L140" s="67" t="s">
        <v>67</v>
      </c>
      <c r="M140" s="73" t="s">
        <v>132</v>
      </c>
      <c r="N140" s="67" t="s">
        <v>5</v>
      </c>
      <c r="O140" s="67" t="s">
        <v>89</v>
      </c>
      <c r="P140" s="59"/>
      <c r="Q140" s="59" t="s">
        <v>615</v>
      </c>
      <c r="R140" s="76" t="s">
        <v>616</v>
      </c>
      <c r="S140" s="59"/>
      <c r="T140" s="59"/>
      <c r="U140" s="77" t="str">
        <f t="array" ref="U140">IFERROR(INDEX(DFD!$D$2:$D$1048791,MATCH($Q140,DFD!$B$2:$B$1048791,0)),"")</f>
        <v/>
      </c>
      <c r="V140" s="77" t="str">
        <f t="array" ref="V140">IFERROR(INDEX(DFD!$F$2:$F$1048791,MATCH($Q140,DFD!$B$2:$B$1048791,0)),"")</f>
        <v/>
      </c>
      <c r="W140" s="84" t="str">
        <f t="array" ref="W140">IFERROR(INDEX(DFD!$E$2:$E$1048791,MATCH($Q140,DFD!$B$2:$B$1048791,0)),"")</f>
        <v/>
      </c>
      <c r="X140" s="84" t="str">
        <f t="array" ref="X140">IFERROR(INDEX(DFD!$K$2:$K$1048791,MATCH($Q140,DFD!$B$2:$B$1048791,0)),"")</f>
        <v/>
      </c>
      <c r="Y140" s="84" t="str">
        <f t="array" ref="Y140">IFERROR(INDEX(DFD!$L$2:$L$1048790,MATCH($Q140,DFD!$B$2:$B$1048790,0)),"")</f>
        <v/>
      </c>
      <c r="Z140" s="84">
        <f t="shared" si="10"/>
        <v>45</v>
      </c>
      <c r="AA140" s="59"/>
      <c r="AB140" s="59" t="s">
        <v>78</v>
      </c>
      <c r="AC140" s="59"/>
      <c r="AD140" s="85">
        <v>46043.0</v>
      </c>
      <c r="AE140" s="86">
        <f t="shared" si="8"/>
        <v>1</v>
      </c>
    </row>
    <row r="141" ht="15.75" customHeight="1">
      <c r="A141" s="92" t="s">
        <v>619</v>
      </c>
      <c r="B141" s="87" t="s">
        <v>49</v>
      </c>
      <c r="C141" s="88" t="s">
        <v>620</v>
      </c>
      <c r="D141" s="88" t="s">
        <v>51</v>
      </c>
      <c r="E141" s="88">
        <v>8.0</v>
      </c>
      <c r="F141" s="89">
        <v>281792.0</v>
      </c>
      <c r="G141" s="90" t="s">
        <v>53</v>
      </c>
      <c r="H141" s="91">
        <v>46031.0</v>
      </c>
      <c r="I141" s="92" t="s">
        <v>18</v>
      </c>
      <c r="J141" s="92" t="s">
        <v>54</v>
      </c>
      <c r="K141" s="92" t="s">
        <v>83</v>
      </c>
      <c r="L141" s="92" t="s">
        <v>67</v>
      </c>
      <c r="M141" s="90" t="s">
        <v>117</v>
      </c>
      <c r="N141" s="92" t="s">
        <v>20</v>
      </c>
      <c r="O141" s="87" t="s">
        <v>69</v>
      </c>
      <c r="P141" s="87"/>
      <c r="Q141" s="87" t="s">
        <v>621</v>
      </c>
      <c r="R141" s="93" t="s">
        <v>379</v>
      </c>
      <c r="S141" s="87"/>
      <c r="T141" s="87"/>
      <c r="U141" s="94" t="str">
        <f t="array" ref="U141">IFERROR(INDEX(DFD!$D$2:$D$1048791,MATCH($Q141,DFD!$B$2:$B$1048791,0)),"")</f>
        <v/>
      </c>
      <c r="V141" s="94" t="s">
        <v>62</v>
      </c>
      <c r="W141" s="97" t="str">
        <f t="array" ref="W141">IFERROR(INDEX(DFD!$E$2:$E$1048791,MATCH($Q141,DFD!$B$2:$B$1048791,0)),"")</f>
        <v/>
      </c>
      <c r="X141" s="97" t="str">
        <f t="array" ref="X141">IFERROR(INDEX(DFD!$K$2:$K$1048791,MATCH($Q141,DFD!$B$2:$B$1048791,0)),"")</f>
        <v/>
      </c>
      <c r="Y141" s="97" t="str">
        <f t="array" ref="Y141">IFERROR(INDEX(DFD!$L$2:$L$1048790,MATCH($Q141,DFD!$B$2:$B$1048790,0)),"")</f>
        <v/>
      </c>
      <c r="Z141" s="97">
        <f t="shared" si="10"/>
        <v>45</v>
      </c>
      <c r="AA141" s="87"/>
      <c r="AB141" s="87" t="s">
        <v>78</v>
      </c>
      <c r="AC141" s="87"/>
      <c r="AD141" s="99">
        <v>46043.0</v>
      </c>
      <c r="AE141" s="100">
        <f t="shared" si="8"/>
        <v>1</v>
      </c>
    </row>
    <row r="142" ht="15.75" customHeight="1">
      <c r="A142" s="67" t="s">
        <v>623</v>
      </c>
      <c r="B142" s="87" t="s">
        <v>155</v>
      </c>
      <c r="C142" s="60" t="s">
        <v>624</v>
      </c>
      <c r="D142" s="60" t="s">
        <v>51</v>
      </c>
      <c r="E142" s="60">
        <v>1.0</v>
      </c>
      <c r="F142" s="72">
        <v>3000.0</v>
      </c>
      <c r="G142" s="73" t="s">
        <v>53</v>
      </c>
      <c r="H142" s="74">
        <v>46031.0</v>
      </c>
      <c r="I142" s="67" t="s">
        <v>18</v>
      </c>
      <c r="J142" s="67" t="s">
        <v>54</v>
      </c>
      <c r="K142" s="67" t="s">
        <v>83</v>
      </c>
      <c r="L142" s="67" t="s">
        <v>67</v>
      </c>
      <c r="M142" s="73" t="s">
        <v>117</v>
      </c>
      <c r="N142" s="67" t="s">
        <v>20</v>
      </c>
      <c r="O142" s="59" t="s">
        <v>69</v>
      </c>
      <c r="P142" s="59"/>
      <c r="Q142" s="59" t="s">
        <v>626</v>
      </c>
      <c r="R142" s="76" t="s">
        <v>86</v>
      </c>
      <c r="S142" s="59"/>
      <c r="T142" s="59"/>
      <c r="U142" s="77" t="str">
        <f t="array" ref="U142">IFERROR(INDEX(DFD!$D$2:$D$1048791,MATCH($Q142,DFD!$B$2:$B$1048791,0)),"")</f>
        <v/>
      </c>
      <c r="V142" s="77" t="s">
        <v>280</v>
      </c>
      <c r="W142" s="84" t="str">
        <f t="array" ref="W142">IFERROR(INDEX(DFD!$E$2:$E$1048791,MATCH($Q142,DFD!$B$2:$B$1048791,0)),"")</f>
        <v/>
      </c>
      <c r="X142" s="84" t="str">
        <f t="array" ref="X142">IFERROR(INDEX(DFD!$K$2:$K$1048791,MATCH($Q142,DFD!$B$2:$B$1048791,0)),"")</f>
        <v/>
      </c>
      <c r="Y142" s="84" t="str">
        <f t="array" ref="Y142">IFERROR(INDEX(DFD!$L$2:$L$1048790,MATCH($Q142,DFD!$B$2:$B$1048790,0)),"")</f>
        <v/>
      </c>
      <c r="Z142" s="84">
        <f t="shared" si="10"/>
        <v>45</v>
      </c>
      <c r="AA142" s="59"/>
      <c r="AB142" s="59" t="s">
        <v>78</v>
      </c>
      <c r="AC142" s="59"/>
      <c r="AD142" s="85">
        <v>46043.0</v>
      </c>
      <c r="AE142" s="86">
        <f t="shared" si="8"/>
        <v>1</v>
      </c>
    </row>
    <row r="143" ht="15.75" customHeight="1">
      <c r="A143" s="92" t="s">
        <v>627</v>
      </c>
      <c r="B143" s="87" t="s">
        <v>172</v>
      </c>
      <c r="C143" s="88" t="s">
        <v>628</v>
      </c>
      <c r="D143" s="88" t="s">
        <v>51</v>
      </c>
      <c r="E143" s="88">
        <v>2.0</v>
      </c>
      <c r="F143" s="89">
        <v>1700.0</v>
      </c>
      <c r="G143" s="90" t="s">
        <v>53</v>
      </c>
      <c r="H143" s="91">
        <v>46174.0</v>
      </c>
      <c r="I143" s="92" t="s">
        <v>18</v>
      </c>
      <c r="J143" s="92" t="s">
        <v>54</v>
      </c>
      <c r="K143" s="92" t="s">
        <v>83</v>
      </c>
      <c r="L143" s="92" t="s">
        <v>67</v>
      </c>
      <c r="M143" s="90" t="s">
        <v>104</v>
      </c>
      <c r="N143" s="92" t="s">
        <v>20</v>
      </c>
      <c r="O143" s="92" t="s">
        <v>89</v>
      </c>
      <c r="P143" s="87"/>
      <c r="Q143" s="87" t="s">
        <v>351</v>
      </c>
      <c r="R143" s="93" t="s">
        <v>71</v>
      </c>
      <c r="S143" s="87"/>
      <c r="T143" s="87"/>
      <c r="U143" s="94" t="str">
        <f t="array" ref="U143">IFERROR(INDEX(DFD!$D$2:$D$1048791,MATCH($Q143,DFD!$B$2:$B$1048791,0)),"")</f>
        <v/>
      </c>
      <c r="V143" s="94" t="s">
        <v>280</v>
      </c>
      <c r="W143" s="97" t="str">
        <f t="array" ref="W143">IFERROR(INDEX(DFD!$E$2:$E$1048791,MATCH($Q143,DFD!$B$2:$B$1048791,0)),"")</f>
        <v/>
      </c>
      <c r="X143" s="97" t="str">
        <f t="array" ref="X143">IFERROR(INDEX(DFD!$K$2:$K$1048791,MATCH($Q143,DFD!$B$2:$B$1048791,0)),"")</f>
        <v/>
      </c>
      <c r="Y143" s="97" t="str">
        <f t="array" ref="Y143">IFERROR(INDEX(DFD!$L$2:$L$1048790,MATCH($Q143,DFD!$B$2:$B$1048790,0)),"")</f>
        <v/>
      </c>
      <c r="Z143" s="97">
        <f t="shared" si="10"/>
        <v>45</v>
      </c>
      <c r="AA143" s="87"/>
      <c r="AB143" s="87" t="s">
        <v>78</v>
      </c>
      <c r="AC143" s="87"/>
      <c r="AD143" s="99">
        <v>46043.0</v>
      </c>
      <c r="AE143" s="100">
        <f t="shared" si="8"/>
        <v>1</v>
      </c>
    </row>
    <row r="144" ht="15.75" customHeight="1">
      <c r="A144" s="59" t="s">
        <v>630</v>
      </c>
      <c r="B144" s="59" t="s">
        <v>136</v>
      </c>
      <c r="C144" s="60" t="s">
        <v>631</v>
      </c>
      <c r="D144" s="60" t="s">
        <v>632</v>
      </c>
      <c r="E144" s="60">
        <v>12.0</v>
      </c>
      <c r="F144" s="72">
        <v>480.0</v>
      </c>
      <c r="G144" s="73" t="s">
        <v>53</v>
      </c>
      <c r="H144" s="74">
        <v>46174.0</v>
      </c>
      <c r="I144" s="67" t="s">
        <v>17</v>
      </c>
      <c r="J144" s="67" t="s">
        <v>54</v>
      </c>
      <c r="K144" s="67" t="s">
        <v>66</v>
      </c>
      <c r="L144" s="67" t="s">
        <v>67</v>
      </c>
      <c r="M144" s="73" t="s">
        <v>104</v>
      </c>
      <c r="N144" s="67" t="s">
        <v>5</v>
      </c>
      <c r="O144" s="59" t="s">
        <v>69</v>
      </c>
      <c r="P144" s="59"/>
      <c r="Q144" s="59" t="s">
        <v>139</v>
      </c>
      <c r="R144" s="76" t="s">
        <v>140</v>
      </c>
      <c r="S144" s="59"/>
      <c r="T144" s="59"/>
      <c r="U144" s="77" t="str">
        <f t="array" ref="U144">IFERROR(INDEX(DFD!$D$2:$D$1048791,MATCH($Q144,DFD!$B$2:$B$1048791,0)),"")</f>
        <v/>
      </c>
      <c r="V144" s="77" t="str">
        <f t="array" ref="V144">IFERROR(INDEX(DFD!$F$2:$F$1048791,MATCH($Q144,DFD!$B$2:$B$1048791,0)),"")</f>
        <v/>
      </c>
      <c r="W144" s="84" t="str">
        <f t="array" ref="W144">IFERROR(INDEX(DFD!$E$2:$E$1048791,MATCH($Q144,DFD!$B$2:$B$1048791,0)),"")</f>
        <v/>
      </c>
      <c r="X144" s="84" t="str">
        <f t="array" ref="X144">IFERROR(INDEX(DFD!$K$2:$K$1048791,MATCH($Q144,DFD!$B$2:$B$1048791,0)),"")</f>
        <v/>
      </c>
      <c r="Y144" s="84" t="str">
        <f t="array" ref="Y144">IFERROR(INDEX(DFD!$L$2:$L$1048790,MATCH($Q144,DFD!$B$2:$B$1048790,0)),"")</f>
        <v/>
      </c>
      <c r="Z144" s="84">
        <f t="shared" si="10"/>
        <v>45</v>
      </c>
      <c r="AA144" s="59"/>
      <c r="AB144" s="59" t="s">
        <v>78</v>
      </c>
      <c r="AC144" s="59"/>
      <c r="AD144" s="85">
        <v>46043.0</v>
      </c>
      <c r="AE144" s="86">
        <f t="shared" si="8"/>
        <v>1</v>
      </c>
    </row>
    <row r="145" ht="15.75" customHeight="1">
      <c r="A145" s="87" t="s">
        <v>633</v>
      </c>
      <c r="B145" s="87" t="s">
        <v>136</v>
      </c>
      <c r="C145" s="88" t="s">
        <v>634</v>
      </c>
      <c r="D145" s="88" t="s">
        <v>632</v>
      </c>
      <c r="E145" s="88">
        <v>12.0</v>
      </c>
      <c r="F145" s="89">
        <v>480.0</v>
      </c>
      <c r="G145" s="90" t="s">
        <v>53</v>
      </c>
      <c r="H145" s="91">
        <v>46174.0</v>
      </c>
      <c r="I145" s="92" t="s">
        <v>17</v>
      </c>
      <c r="J145" s="92" t="s">
        <v>54</v>
      </c>
      <c r="K145" s="92" t="s">
        <v>66</v>
      </c>
      <c r="L145" s="92" t="s">
        <v>67</v>
      </c>
      <c r="M145" s="90" t="s">
        <v>104</v>
      </c>
      <c r="N145" s="92" t="s">
        <v>5</v>
      </c>
      <c r="O145" s="87" t="s">
        <v>69</v>
      </c>
      <c r="P145" s="87"/>
      <c r="Q145" s="87" t="s">
        <v>139</v>
      </c>
      <c r="R145" s="93" t="s">
        <v>140</v>
      </c>
      <c r="S145" s="87"/>
      <c r="T145" s="87"/>
      <c r="U145" s="94" t="str">
        <f t="array" ref="U145">IFERROR(INDEX(DFD!$D$2:$D$1048791,MATCH($Q145,DFD!$B$2:$B$1048791,0)),"")</f>
        <v/>
      </c>
      <c r="V145" s="94" t="str">
        <f t="array" ref="V145">IFERROR(INDEX(DFD!$F$2:$F$1048791,MATCH($Q145,DFD!$B$2:$B$1048791,0)),"")</f>
        <v/>
      </c>
      <c r="W145" s="97" t="str">
        <f t="array" ref="W145">IFERROR(INDEX(DFD!$E$2:$E$1048791,MATCH($Q145,DFD!$B$2:$B$1048791,0)),"")</f>
        <v/>
      </c>
      <c r="X145" s="97" t="str">
        <f t="array" ref="X145">IFERROR(INDEX(DFD!$K$2:$K$1048791,MATCH($Q145,DFD!$B$2:$B$1048791,0)),"")</f>
        <v/>
      </c>
      <c r="Y145" s="97" t="str">
        <f t="array" ref="Y145">IFERROR(INDEX(DFD!$L$2:$L$1048790,MATCH($Q145,DFD!$B$2:$B$1048790,0)),"")</f>
        <v/>
      </c>
      <c r="Z145" s="97">
        <f t="shared" si="10"/>
        <v>45</v>
      </c>
      <c r="AA145" s="87"/>
      <c r="AB145" s="87" t="s">
        <v>78</v>
      </c>
      <c r="AC145" s="87"/>
      <c r="AD145" s="99">
        <v>46043.0</v>
      </c>
      <c r="AE145" s="100">
        <f t="shared" si="8"/>
        <v>1</v>
      </c>
    </row>
    <row r="146" ht="15.75" customHeight="1">
      <c r="A146" s="59" t="s">
        <v>642</v>
      </c>
      <c r="B146" s="59" t="s">
        <v>101</v>
      </c>
      <c r="C146" s="60" t="s">
        <v>643</v>
      </c>
      <c r="D146" s="60" t="s">
        <v>644</v>
      </c>
      <c r="E146" s="60">
        <v>2.0</v>
      </c>
      <c r="F146" s="72">
        <v>610.0</v>
      </c>
      <c r="G146" s="73" t="s">
        <v>53</v>
      </c>
      <c r="H146" s="74">
        <v>46174.0</v>
      </c>
      <c r="I146" s="67" t="s">
        <v>17</v>
      </c>
      <c r="J146" s="67" t="s">
        <v>54</v>
      </c>
      <c r="K146" s="67" t="s">
        <v>66</v>
      </c>
      <c r="L146" s="67" t="s">
        <v>56</v>
      </c>
      <c r="M146" s="73" t="s">
        <v>104</v>
      </c>
      <c r="N146" s="67" t="s">
        <v>58</v>
      </c>
      <c r="O146" s="67" t="s">
        <v>89</v>
      </c>
      <c r="P146" s="59"/>
      <c r="Q146" s="59" t="s">
        <v>118</v>
      </c>
      <c r="R146" s="76" t="s">
        <v>181</v>
      </c>
      <c r="S146" s="59"/>
      <c r="T146" s="59"/>
      <c r="U146" s="77" t="str">
        <f t="array" ref="U146">IFERROR(INDEX(DFD!$D$2:$D$1048791,MATCH($Q146,DFD!$B$2:$B$1048791,0)),"")</f>
        <v/>
      </c>
      <c r="V146" s="77" t="str">
        <f t="array" ref="V146">IFERROR(INDEX(DFD!$F$2:$F$1048791,MATCH($Q146,DFD!$B$2:$B$1048791,0)),"")</f>
        <v/>
      </c>
      <c r="W146" s="84" t="str">
        <f t="array" ref="W146">IFERROR(INDEX(DFD!$E$2:$E$1048791,MATCH($Q146,DFD!$B$2:$B$1048791,0)),"")</f>
        <v/>
      </c>
      <c r="X146" s="84" t="str">
        <f t="array" ref="X146">IFERROR(INDEX(DFD!$K$2:$K$1048791,MATCH($Q146,DFD!$B$2:$B$1048791,0)),"")</f>
        <v/>
      </c>
      <c r="Y146" s="84" t="str">
        <f t="array" ref="Y146">IFERROR(INDEX(DFD!$L$2:$L$1048790,MATCH($Q146,DFD!$B$2:$B$1048790,0)),"")</f>
        <v/>
      </c>
      <c r="Z146" s="84">
        <f t="shared" si="10"/>
        <v>45</v>
      </c>
      <c r="AA146" s="59"/>
      <c r="AB146" s="59" t="s">
        <v>78</v>
      </c>
      <c r="AC146" s="59"/>
      <c r="AD146" s="85">
        <v>46043.0</v>
      </c>
      <c r="AE146" s="86">
        <f t="shared" si="8"/>
        <v>1</v>
      </c>
    </row>
    <row r="147" ht="15.75" customHeight="1">
      <c r="A147" s="87" t="s">
        <v>648</v>
      </c>
      <c r="B147" s="87" t="s">
        <v>101</v>
      </c>
      <c r="C147" s="88" t="s">
        <v>649</v>
      </c>
      <c r="D147" s="88" t="s">
        <v>51</v>
      </c>
      <c r="E147" s="88">
        <v>40.0</v>
      </c>
      <c r="F147" s="89">
        <v>20000.0</v>
      </c>
      <c r="G147" s="90" t="s">
        <v>53</v>
      </c>
      <c r="H147" s="91">
        <v>46235.0</v>
      </c>
      <c r="I147" s="92" t="s">
        <v>17</v>
      </c>
      <c r="J147" s="92" t="s">
        <v>54</v>
      </c>
      <c r="K147" s="92" t="s">
        <v>66</v>
      </c>
      <c r="L147" s="92" t="s">
        <v>56</v>
      </c>
      <c r="M147" s="90" t="s">
        <v>132</v>
      </c>
      <c r="N147" s="92" t="s">
        <v>58</v>
      </c>
      <c r="O147" s="87" t="s">
        <v>69</v>
      </c>
      <c r="P147" s="87"/>
      <c r="Q147" s="87" t="s">
        <v>124</v>
      </c>
      <c r="R147" s="93" t="s">
        <v>71</v>
      </c>
      <c r="S147" s="87"/>
      <c r="T147" s="87"/>
      <c r="U147" s="94" t="str">
        <f t="array" ref="U147">IFERROR(INDEX(DFD!$D$2:$D$1048791,MATCH($Q147,DFD!$B$2:$B$1048791,0)),"")</f>
        <v/>
      </c>
      <c r="V147" s="94" t="str">
        <f t="array" ref="V147">IFERROR(INDEX(DFD!$F$2:$F$1048791,MATCH($Q147,DFD!$B$2:$B$1048791,0)),"")</f>
        <v/>
      </c>
      <c r="W147" s="97" t="str">
        <f t="array" ref="W147">IFERROR(INDEX(DFD!$E$2:$E$1048791,MATCH($Q147,DFD!$B$2:$B$1048791,0)),"")</f>
        <v/>
      </c>
      <c r="X147" s="97" t="str">
        <f t="array" ref="X147">IFERROR(INDEX(DFD!$K$2:$K$1048791,MATCH($Q147,DFD!$B$2:$B$1048791,0)),"")</f>
        <v/>
      </c>
      <c r="Y147" s="97" t="str">
        <f t="array" ref="Y147">IFERROR(INDEX(DFD!$L$2:$L$1048790,MATCH($Q147,DFD!$B$2:$B$1048790,0)),"")</f>
        <v/>
      </c>
      <c r="Z147" s="97">
        <f t="shared" si="10"/>
        <v>45</v>
      </c>
      <c r="AA147" s="87"/>
      <c r="AB147" s="87" t="s">
        <v>78</v>
      </c>
      <c r="AC147" s="87"/>
      <c r="AD147" s="99">
        <v>46043.0</v>
      </c>
      <c r="AE147" s="100">
        <f t="shared" si="8"/>
        <v>1</v>
      </c>
    </row>
    <row r="148" ht="15.75" customHeight="1">
      <c r="A148" s="59" t="s">
        <v>652</v>
      </c>
      <c r="B148" s="67" t="s">
        <v>101</v>
      </c>
      <c r="C148" s="60" t="s">
        <v>649</v>
      </c>
      <c r="D148" s="81" t="s">
        <v>51</v>
      </c>
      <c r="E148" s="81">
        <v>40.0</v>
      </c>
      <c r="F148" s="101">
        <v>20000.0</v>
      </c>
      <c r="G148" s="73" t="s">
        <v>53</v>
      </c>
      <c r="H148" s="83">
        <v>46235.0</v>
      </c>
      <c r="I148" s="67" t="s">
        <v>17</v>
      </c>
      <c r="J148" s="67" t="s">
        <v>54</v>
      </c>
      <c r="K148" s="67" t="s">
        <v>66</v>
      </c>
      <c r="L148" s="67" t="s">
        <v>56</v>
      </c>
      <c r="M148" s="73" t="s">
        <v>68</v>
      </c>
      <c r="N148" s="67" t="s">
        <v>58</v>
      </c>
      <c r="O148" s="59" t="s">
        <v>69</v>
      </c>
      <c r="P148" s="59"/>
      <c r="Q148" s="59" t="s">
        <v>124</v>
      </c>
      <c r="R148" s="76" t="s">
        <v>71</v>
      </c>
      <c r="S148" s="59"/>
      <c r="T148" s="59"/>
      <c r="U148" s="77" t="str">
        <f t="array" ref="U148">IFERROR(INDEX(DFD!$D$2:$D$1048791,MATCH($Q148,DFD!$B$2:$B$1048791,0)),"")</f>
        <v/>
      </c>
      <c r="V148" s="77" t="str">
        <f t="array" ref="V148">IFERROR(INDEX(DFD!$F$2:$F$1048791,MATCH($Q148,DFD!$B$2:$B$1048791,0)),"")</f>
        <v/>
      </c>
      <c r="W148" s="84" t="str">
        <f t="array" ref="W148">IFERROR(INDEX(DFD!$E$2:$E$1048791,MATCH($Q148,DFD!$B$2:$B$1048791,0)),"")</f>
        <v/>
      </c>
      <c r="X148" s="84" t="str">
        <f t="array" ref="X148">IFERROR(INDEX(DFD!$K$2:$K$1048791,MATCH($Q148,DFD!$B$2:$B$1048791,0)),"")</f>
        <v/>
      </c>
      <c r="Y148" s="84" t="str">
        <f t="array" ref="Y148">IFERROR(INDEX(DFD!$L$2:$L$1048790,MATCH($Q148,DFD!$B$2:$B$1048790,0)),"")</f>
        <v/>
      </c>
      <c r="Z148" s="84">
        <f t="shared" si="10"/>
        <v>45</v>
      </c>
      <c r="AA148" s="59"/>
      <c r="AB148" s="59" t="s">
        <v>78</v>
      </c>
      <c r="AC148" s="59"/>
      <c r="AD148" s="85">
        <v>46043.0</v>
      </c>
      <c r="AE148" s="86">
        <f t="shared" si="8"/>
        <v>1</v>
      </c>
    </row>
    <row r="149" ht="15.75" customHeight="1">
      <c r="A149" s="87" t="s">
        <v>654</v>
      </c>
      <c r="B149" s="87" t="s">
        <v>105</v>
      </c>
      <c r="C149" s="88" t="s">
        <v>655</v>
      </c>
      <c r="D149" s="88" t="s">
        <v>51</v>
      </c>
      <c r="E149" s="88">
        <v>2.0</v>
      </c>
      <c r="F149" s="89">
        <v>4000.0</v>
      </c>
      <c r="G149" s="90" t="s">
        <v>53</v>
      </c>
      <c r="H149" s="91">
        <v>46204.0</v>
      </c>
      <c r="I149" s="92" t="s">
        <v>17</v>
      </c>
      <c r="J149" s="92" t="s">
        <v>54</v>
      </c>
      <c r="K149" s="92" t="s">
        <v>66</v>
      </c>
      <c r="L149" s="92" t="s">
        <v>67</v>
      </c>
      <c r="M149" s="90" t="s">
        <v>132</v>
      </c>
      <c r="N149" s="92" t="s">
        <v>58</v>
      </c>
      <c r="O149" s="92" t="s">
        <v>89</v>
      </c>
      <c r="P149" s="87"/>
      <c r="Q149" s="87" t="s">
        <v>124</v>
      </c>
      <c r="R149" s="93" t="s">
        <v>71</v>
      </c>
      <c r="S149" s="87"/>
      <c r="T149" s="87"/>
      <c r="U149" s="94" t="str">
        <f t="array" ref="U149">IFERROR(INDEX(DFD!$D$2:$D$1048791,MATCH($Q149,DFD!$B$2:$B$1048791,0)),"")</f>
        <v/>
      </c>
      <c r="V149" s="94" t="str">
        <f t="array" ref="V149">IFERROR(INDEX(DFD!$F$2:$F$1048791,MATCH($Q149,DFD!$B$2:$B$1048791,0)),"")</f>
        <v/>
      </c>
      <c r="W149" s="97" t="str">
        <f t="array" ref="W149">IFERROR(INDEX(DFD!$E$2:$E$1048791,MATCH($Q149,DFD!$B$2:$B$1048791,0)),"")</f>
        <v/>
      </c>
      <c r="X149" s="97" t="str">
        <f t="array" ref="X149">IFERROR(INDEX(DFD!$K$2:$K$1048791,MATCH($Q149,DFD!$B$2:$B$1048791,0)),"")</f>
        <v/>
      </c>
      <c r="Y149" s="97" t="str">
        <f t="array" ref="Y149">IFERROR(INDEX(DFD!$L$2:$L$1048790,MATCH($Q149,DFD!$B$2:$B$1048790,0)),"")</f>
        <v/>
      </c>
      <c r="Z149" s="97">
        <f t="shared" si="10"/>
        <v>45</v>
      </c>
      <c r="AA149" s="87"/>
      <c r="AB149" s="87" t="s">
        <v>78</v>
      </c>
      <c r="AC149" s="87"/>
      <c r="AD149" s="99">
        <v>46043.0</v>
      </c>
      <c r="AE149" s="100">
        <f t="shared" si="8"/>
        <v>1</v>
      </c>
    </row>
    <row r="150" ht="15.75" customHeight="1">
      <c r="A150" s="59" t="s">
        <v>657</v>
      </c>
      <c r="B150" s="59" t="s">
        <v>355</v>
      </c>
      <c r="C150" s="60" t="s">
        <v>658</v>
      </c>
      <c r="D150" s="60" t="s">
        <v>51</v>
      </c>
      <c r="E150" s="60">
        <v>15.0</v>
      </c>
      <c r="F150" s="72">
        <v>45000.0</v>
      </c>
      <c r="G150" s="73" t="s">
        <v>53</v>
      </c>
      <c r="H150" s="74">
        <v>46266.0</v>
      </c>
      <c r="I150" s="67" t="s">
        <v>17</v>
      </c>
      <c r="J150" s="67" t="s">
        <v>54</v>
      </c>
      <c r="K150" s="67" t="s">
        <v>66</v>
      </c>
      <c r="L150" s="67" t="s">
        <v>56</v>
      </c>
      <c r="M150" s="73" t="s">
        <v>167</v>
      </c>
      <c r="N150" s="67" t="s">
        <v>58</v>
      </c>
      <c r="O150" s="59" t="s">
        <v>69</v>
      </c>
      <c r="P150" s="59"/>
      <c r="Q150" s="59" t="s">
        <v>52</v>
      </c>
      <c r="R150" s="76" t="s">
        <v>71</v>
      </c>
      <c r="S150" s="59"/>
      <c r="T150" s="59"/>
      <c r="U150" s="77" t="str">
        <f t="array" ref="U150">IFERROR(INDEX(DFD!$D$2:$D$1048791,MATCH($Q150,DFD!$B$2:$B$1048791,0)),"")</f>
        <v/>
      </c>
      <c r="V150" s="77" t="str">
        <f t="array" ref="V150">IFERROR(INDEX(DFD!$F$2:$F$1048791,MATCH($Q150,DFD!$B$2:$B$1048791,0)),"")</f>
        <v/>
      </c>
      <c r="W150" s="84" t="str">
        <f t="array" ref="W150">IFERROR(INDEX(DFD!$E$2:$E$1048791,MATCH($Q150,DFD!$B$2:$B$1048791,0)),"")</f>
        <v/>
      </c>
      <c r="X150" s="84" t="str">
        <f t="array" ref="X150">IFERROR(INDEX(DFD!$K$2:$K$1048791,MATCH($Q150,DFD!$B$2:$B$1048791,0)),"")</f>
        <v/>
      </c>
      <c r="Y150" s="84" t="str">
        <f t="array" ref="Y150">IFERROR(INDEX(DFD!$L$2:$L$1048790,MATCH($Q150,DFD!$B$2:$B$1048790,0)),"")</f>
        <v/>
      </c>
      <c r="Z150" s="84">
        <f t="shared" si="10"/>
        <v>45</v>
      </c>
      <c r="AA150" s="59"/>
      <c r="AB150" s="59" t="s">
        <v>72</v>
      </c>
      <c r="AC150" s="59"/>
      <c r="AD150" s="85">
        <v>46043.0</v>
      </c>
      <c r="AE150" s="86">
        <f t="shared" si="8"/>
        <v>1</v>
      </c>
    </row>
    <row r="151" ht="15.75" customHeight="1">
      <c r="A151" s="87" t="s">
        <v>659</v>
      </c>
      <c r="B151" s="87" t="s">
        <v>101</v>
      </c>
      <c r="C151" s="88" t="s">
        <v>660</v>
      </c>
      <c r="D151" s="88" t="s">
        <v>51</v>
      </c>
      <c r="E151" s="88">
        <v>40.0</v>
      </c>
      <c r="F151" s="89">
        <v>20000.0</v>
      </c>
      <c r="G151" s="90" t="s">
        <v>53</v>
      </c>
      <c r="H151" s="91">
        <v>46235.0</v>
      </c>
      <c r="I151" s="92" t="s">
        <v>17</v>
      </c>
      <c r="J151" s="92" t="s">
        <v>54</v>
      </c>
      <c r="K151" s="92" t="s">
        <v>66</v>
      </c>
      <c r="L151" s="92" t="s">
        <v>56</v>
      </c>
      <c r="M151" s="90" t="s">
        <v>68</v>
      </c>
      <c r="N151" s="92" t="s">
        <v>58</v>
      </c>
      <c r="O151" s="87" t="s">
        <v>69</v>
      </c>
      <c r="P151" s="87"/>
      <c r="Q151" s="87" t="s">
        <v>124</v>
      </c>
      <c r="R151" s="93" t="s">
        <v>71</v>
      </c>
      <c r="S151" s="87"/>
      <c r="T151" s="87"/>
      <c r="U151" s="94" t="str">
        <f t="array" ref="U151">IFERROR(INDEX(DFD!$D$2:$D$1048791,MATCH($Q151,DFD!$B$2:$B$1048791,0)),"")</f>
        <v/>
      </c>
      <c r="V151" s="94" t="str">
        <f t="array" ref="V151">IFERROR(INDEX(DFD!$F$2:$F$1048791,MATCH($Q151,DFD!$B$2:$B$1048791,0)),"")</f>
        <v/>
      </c>
      <c r="W151" s="97" t="str">
        <f t="array" ref="W151">IFERROR(INDEX(DFD!$E$2:$E$1048791,MATCH($Q151,DFD!$B$2:$B$1048791,0)),"")</f>
        <v/>
      </c>
      <c r="X151" s="97" t="str">
        <f t="array" ref="X151">IFERROR(INDEX(DFD!$K$2:$K$1048791,MATCH($Q151,DFD!$B$2:$B$1048791,0)),"")</f>
        <v/>
      </c>
      <c r="Y151" s="97" t="str">
        <f t="array" ref="Y151">IFERROR(INDEX(DFD!$L$2:$L$1048790,MATCH($Q151,DFD!$B$2:$B$1048790,0)),"")</f>
        <v/>
      </c>
      <c r="Z151" s="97">
        <f t="shared" si="10"/>
        <v>45</v>
      </c>
      <c r="AA151" s="87"/>
      <c r="AB151" s="87" t="s">
        <v>78</v>
      </c>
      <c r="AC151" s="87"/>
      <c r="AD151" s="99">
        <v>46043.0</v>
      </c>
      <c r="AE151" s="100">
        <f t="shared" si="8"/>
        <v>1</v>
      </c>
    </row>
    <row r="152" ht="15.75" customHeight="1">
      <c r="A152" s="59" t="s">
        <v>662</v>
      </c>
      <c r="B152" s="59" t="s">
        <v>101</v>
      </c>
      <c r="C152" s="60" t="s">
        <v>663</v>
      </c>
      <c r="D152" s="60" t="s">
        <v>51</v>
      </c>
      <c r="E152" s="60">
        <v>8.0</v>
      </c>
      <c r="F152" s="72">
        <v>8064.0</v>
      </c>
      <c r="G152" s="73" t="s">
        <v>53</v>
      </c>
      <c r="H152" s="74">
        <v>46204.0</v>
      </c>
      <c r="I152" s="67" t="s">
        <v>17</v>
      </c>
      <c r="J152" s="67" t="s">
        <v>54</v>
      </c>
      <c r="K152" s="67" t="s">
        <v>66</v>
      </c>
      <c r="L152" s="67" t="s">
        <v>56</v>
      </c>
      <c r="M152" s="73" t="s">
        <v>167</v>
      </c>
      <c r="N152" s="67" t="s">
        <v>58</v>
      </c>
      <c r="O152" s="67" t="s">
        <v>89</v>
      </c>
      <c r="P152" s="59"/>
      <c r="Q152" s="59" t="s">
        <v>124</v>
      </c>
      <c r="R152" s="76" t="s">
        <v>71</v>
      </c>
      <c r="S152" s="59"/>
      <c r="T152" s="59"/>
      <c r="U152" s="77" t="str">
        <f t="array" ref="U152">IFERROR(INDEX(DFD!$D$2:$D$1048791,MATCH($Q152,DFD!$B$2:$B$1048791,0)),"")</f>
        <v/>
      </c>
      <c r="V152" s="77" t="str">
        <f t="array" ref="V152">IFERROR(INDEX(DFD!$F$2:$F$1048791,MATCH($Q152,DFD!$B$2:$B$1048791,0)),"")</f>
        <v/>
      </c>
      <c r="W152" s="84" t="str">
        <f t="array" ref="W152">IFERROR(INDEX(DFD!$E$2:$E$1048791,MATCH($Q152,DFD!$B$2:$B$1048791,0)),"")</f>
        <v/>
      </c>
      <c r="X152" s="84" t="str">
        <f t="array" ref="X152">IFERROR(INDEX(DFD!$K$2:$K$1048791,MATCH($Q152,DFD!$B$2:$B$1048791,0)),"")</f>
        <v/>
      </c>
      <c r="Y152" s="84" t="str">
        <f t="array" ref="Y152">IFERROR(INDEX(DFD!$L$2:$L$1048790,MATCH($Q152,DFD!$B$2:$B$1048790,0)),"")</f>
        <v/>
      </c>
      <c r="Z152" s="84">
        <f t="shared" si="10"/>
        <v>45</v>
      </c>
      <c r="AA152" s="59"/>
      <c r="AB152" s="59" t="s">
        <v>78</v>
      </c>
      <c r="AC152" s="59"/>
      <c r="AD152" s="85">
        <v>46043.0</v>
      </c>
      <c r="AE152" s="86">
        <f t="shared" si="8"/>
        <v>1</v>
      </c>
    </row>
    <row r="153" ht="15.75" customHeight="1">
      <c r="A153" s="87" t="s">
        <v>665</v>
      </c>
      <c r="B153" s="87" t="s">
        <v>101</v>
      </c>
      <c r="C153" s="88" t="s">
        <v>666</v>
      </c>
      <c r="D153" s="88" t="s">
        <v>51</v>
      </c>
      <c r="E153" s="88">
        <v>40.0</v>
      </c>
      <c r="F153" s="89">
        <v>24000.0</v>
      </c>
      <c r="G153" s="90" t="s">
        <v>53</v>
      </c>
      <c r="H153" s="91">
        <v>46235.0</v>
      </c>
      <c r="I153" s="92" t="s">
        <v>17</v>
      </c>
      <c r="J153" s="92" t="s">
        <v>54</v>
      </c>
      <c r="K153" s="92" t="s">
        <v>66</v>
      </c>
      <c r="L153" s="92" t="s">
        <v>56</v>
      </c>
      <c r="M153" s="90" t="s">
        <v>68</v>
      </c>
      <c r="N153" s="92" t="s">
        <v>58</v>
      </c>
      <c r="O153" s="87" t="s">
        <v>69</v>
      </c>
      <c r="P153" s="87"/>
      <c r="Q153" s="87" t="s">
        <v>667</v>
      </c>
      <c r="R153" s="93" t="s">
        <v>71</v>
      </c>
      <c r="S153" s="87"/>
      <c r="T153" s="87"/>
      <c r="U153" s="94" t="s">
        <v>668</v>
      </c>
      <c r="V153" s="94" t="str">
        <f t="array" ref="V153">IFERROR(INDEX(DFD!$F$2:$F$1048791,MATCH($Q153,DFD!$B$2:$B$1048791,0)),"")</f>
        <v/>
      </c>
      <c r="W153" s="97" t="str">
        <f t="array" ref="W153">IFERROR(INDEX(DFD!$E$2:$E$1048791,MATCH($Q153,DFD!$B$2:$B$1048791,0)),"")</f>
        <v/>
      </c>
      <c r="X153" s="97" t="str">
        <f t="array" ref="X153">IFERROR(INDEX(DFD!$K$2:$K$1048791,MATCH($Q153,DFD!$B$2:$B$1048791,0)),"")</f>
        <v/>
      </c>
      <c r="Y153" s="97" t="str">
        <f t="array" ref="Y153">IFERROR(INDEX(DFD!$L$2:$L$1048790,MATCH($Q153,DFD!$B$2:$B$1048790,0)),"")</f>
        <v/>
      </c>
      <c r="Z153" s="97">
        <f t="shared" si="10"/>
        <v>45</v>
      </c>
      <c r="AA153" s="87"/>
      <c r="AB153" s="87" t="s">
        <v>78</v>
      </c>
      <c r="AC153" s="87"/>
      <c r="AD153" s="99">
        <v>46043.0</v>
      </c>
      <c r="AE153" s="100">
        <f t="shared" si="8"/>
        <v>1</v>
      </c>
    </row>
    <row r="154" ht="15.75" customHeight="1">
      <c r="A154" s="59" t="s">
        <v>670</v>
      </c>
      <c r="B154" s="59" t="s">
        <v>101</v>
      </c>
      <c r="C154" s="60" t="s">
        <v>671</v>
      </c>
      <c r="D154" s="60" t="s">
        <v>51</v>
      </c>
      <c r="E154" s="60">
        <v>5.0</v>
      </c>
      <c r="F154" s="72">
        <v>1500.0</v>
      </c>
      <c r="G154" s="73" t="s">
        <v>53</v>
      </c>
      <c r="H154" s="74">
        <v>46174.0</v>
      </c>
      <c r="I154" s="67" t="s">
        <v>17</v>
      </c>
      <c r="J154" s="67" t="s">
        <v>54</v>
      </c>
      <c r="K154" s="67" t="s">
        <v>66</v>
      </c>
      <c r="L154" s="67" t="s">
        <v>56</v>
      </c>
      <c r="M154" s="73" t="s">
        <v>167</v>
      </c>
      <c r="N154" s="67" t="s">
        <v>58</v>
      </c>
      <c r="O154" s="59" t="s">
        <v>69</v>
      </c>
      <c r="P154" s="59"/>
      <c r="Q154" s="59" t="s">
        <v>672</v>
      </c>
      <c r="R154" s="76" t="s">
        <v>269</v>
      </c>
      <c r="S154" s="59"/>
      <c r="T154" s="59"/>
      <c r="U154" s="77" t="str">
        <f t="array" ref="U154">IFERROR(INDEX(DFD!$D$2:$D$1048791,MATCH($Q154,DFD!$B$2:$B$1048791,0)),"")</f>
        <v/>
      </c>
      <c r="V154" s="77" t="str">
        <f t="array" ref="V154">IFERROR(INDEX(DFD!$F$2:$F$1048791,MATCH($Q154,DFD!$B$2:$B$1048791,0)),"")</f>
        <v/>
      </c>
      <c r="W154" s="84" t="str">
        <f t="array" ref="W154">IFERROR(INDEX(DFD!$E$2:$E$1048791,MATCH($Q154,DFD!$B$2:$B$1048791,0)),"")</f>
        <v/>
      </c>
      <c r="X154" s="84" t="str">
        <f t="array" ref="X154">IFERROR(INDEX(DFD!$K$2:$K$1048791,MATCH($Q154,DFD!$B$2:$B$1048791,0)),"")</f>
        <v/>
      </c>
      <c r="Y154" s="84" t="str">
        <f t="array" ref="Y154">IFERROR(INDEX(DFD!$L$2:$L$1048790,MATCH($Q154,DFD!$B$2:$B$1048790,0)),"")</f>
        <v/>
      </c>
      <c r="Z154" s="84">
        <f t="shared" si="10"/>
        <v>45</v>
      </c>
      <c r="AA154" s="59"/>
      <c r="AB154" s="59" t="s">
        <v>78</v>
      </c>
      <c r="AC154" s="59"/>
      <c r="AD154" s="85">
        <v>46043.0</v>
      </c>
      <c r="AE154" s="86">
        <f t="shared" si="8"/>
        <v>1</v>
      </c>
    </row>
    <row r="155" ht="15.75" customHeight="1">
      <c r="A155" s="87" t="s">
        <v>674</v>
      </c>
      <c r="B155" s="87" t="s">
        <v>148</v>
      </c>
      <c r="C155" s="88" t="s">
        <v>675</v>
      </c>
      <c r="D155" s="88" t="s">
        <v>51</v>
      </c>
      <c r="E155" s="88">
        <v>20.0</v>
      </c>
      <c r="F155" s="89">
        <v>540.0</v>
      </c>
      <c r="G155" s="90" t="s">
        <v>53</v>
      </c>
      <c r="H155" s="91">
        <v>46174.0</v>
      </c>
      <c r="I155" s="92" t="s">
        <v>17</v>
      </c>
      <c r="J155" s="92" t="s">
        <v>54</v>
      </c>
      <c r="K155" s="92" t="s">
        <v>66</v>
      </c>
      <c r="L155" s="92" t="s">
        <v>67</v>
      </c>
      <c r="M155" s="90" t="s">
        <v>117</v>
      </c>
      <c r="N155" s="92" t="s">
        <v>5</v>
      </c>
      <c r="O155" s="92" t="s">
        <v>89</v>
      </c>
      <c r="P155" s="87"/>
      <c r="Q155" s="87" t="s">
        <v>576</v>
      </c>
      <c r="R155" s="93" t="s">
        <v>373</v>
      </c>
      <c r="S155" s="87"/>
      <c r="T155" s="87"/>
      <c r="U155" s="94" t="str">
        <f t="array" ref="U155">IFERROR(INDEX(DFD!$D$2:$D$1048791,MATCH($Q155,DFD!$B$2:$B$1048791,0)),"")</f>
        <v/>
      </c>
      <c r="V155" s="94" t="s">
        <v>280</v>
      </c>
      <c r="W155" s="97" t="str">
        <f t="array" ref="W155">IFERROR(INDEX(DFD!$E$2:$E$1048791,MATCH($Q155,DFD!$B$2:$B$1048791,0)),"")</f>
        <v/>
      </c>
      <c r="X155" s="97" t="str">
        <f t="array" ref="X155">IFERROR(INDEX(DFD!$K$2:$K$1048791,MATCH($Q155,DFD!$B$2:$B$1048791,0)),"")</f>
        <v/>
      </c>
      <c r="Y155" s="97" t="str">
        <f t="array" ref="Y155">IFERROR(INDEX(DFD!$L$2:$L$1048790,MATCH($Q155,DFD!$B$2:$B$1048790,0)),"")</f>
        <v/>
      </c>
      <c r="Z155" s="97">
        <f t="shared" si="10"/>
        <v>45</v>
      </c>
      <c r="AA155" s="87"/>
      <c r="AB155" s="87" t="s">
        <v>78</v>
      </c>
      <c r="AC155" s="87"/>
      <c r="AD155" s="99">
        <v>46043.0</v>
      </c>
      <c r="AE155" s="100">
        <f t="shared" si="8"/>
        <v>1</v>
      </c>
    </row>
    <row r="156" ht="15.75" customHeight="1">
      <c r="A156" s="59" t="s">
        <v>677</v>
      </c>
      <c r="B156" s="59" t="s">
        <v>148</v>
      </c>
      <c r="C156" s="60" t="s">
        <v>678</v>
      </c>
      <c r="D156" s="60" t="s">
        <v>51</v>
      </c>
      <c r="E156" s="60">
        <v>10.0</v>
      </c>
      <c r="F156" s="72">
        <v>159.0</v>
      </c>
      <c r="G156" s="73" t="s">
        <v>53</v>
      </c>
      <c r="H156" s="74">
        <v>46143.0</v>
      </c>
      <c r="I156" s="67" t="s">
        <v>17</v>
      </c>
      <c r="J156" s="67" t="s">
        <v>54</v>
      </c>
      <c r="K156" s="67" t="s">
        <v>66</v>
      </c>
      <c r="L156" s="67" t="s">
        <v>67</v>
      </c>
      <c r="M156" s="73" t="s">
        <v>132</v>
      </c>
      <c r="N156" s="67" t="s">
        <v>5</v>
      </c>
      <c r="O156" s="59" t="s">
        <v>69</v>
      </c>
      <c r="P156" s="59"/>
      <c r="Q156" s="59" t="s">
        <v>576</v>
      </c>
      <c r="R156" s="76" t="s">
        <v>373</v>
      </c>
      <c r="S156" s="59"/>
      <c r="T156" s="59"/>
      <c r="U156" s="77" t="str">
        <f t="array" ref="U156">IFERROR(INDEX(DFD!$D$2:$D$1048791,MATCH($Q156,DFD!$B$2:$B$1048791,0)),"")</f>
        <v/>
      </c>
      <c r="V156" s="77" t="s">
        <v>280</v>
      </c>
      <c r="W156" s="84" t="str">
        <f t="array" ref="W156">IFERROR(INDEX(DFD!$E$2:$E$1048791,MATCH($Q156,DFD!$B$2:$B$1048791,0)),"")</f>
        <v/>
      </c>
      <c r="X156" s="84" t="str">
        <f t="array" ref="X156">IFERROR(INDEX(DFD!$K$2:$K$1048791,MATCH($Q156,DFD!$B$2:$B$1048791,0)),"")</f>
        <v/>
      </c>
      <c r="Y156" s="84" t="str">
        <f t="array" ref="Y156">IFERROR(INDEX(DFD!$L$2:$L$1048790,MATCH($Q156,DFD!$B$2:$B$1048790,0)),"")</f>
        <v/>
      </c>
      <c r="Z156" s="84">
        <f t="shared" si="10"/>
        <v>45</v>
      </c>
      <c r="AA156" s="59"/>
      <c r="AB156" s="59" t="s">
        <v>78</v>
      </c>
      <c r="AC156" s="59"/>
      <c r="AD156" s="85">
        <v>46043.0</v>
      </c>
      <c r="AE156" s="86">
        <f t="shared" si="8"/>
        <v>1</v>
      </c>
    </row>
    <row r="157" ht="15.75" customHeight="1">
      <c r="A157" s="92" t="s">
        <v>679</v>
      </c>
      <c r="B157" s="87" t="s">
        <v>184</v>
      </c>
      <c r="C157" s="88" t="s">
        <v>680</v>
      </c>
      <c r="D157" s="88" t="s">
        <v>51</v>
      </c>
      <c r="E157" s="88">
        <v>450.0</v>
      </c>
      <c r="F157" s="89">
        <v>22500.0</v>
      </c>
      <c r="G157" s="90" t="s">
        <v>53</v>
      </c>
      <c r="H157" s="91">
        <v>46235.0</v>
      </c>
      <c r="I157" s="92" t="s">
        <v>17</v>
      </c>
      <c r="J157" s="92" t="s">
        <v>54</v>
      </c>
      <c r="K157" s="92" t="s">
        <v>66</v>
      </c>
      <c r="L157" s="92" t="s">
        <v>67</v>
      </c>
      <c r="M157" s="90" t="s">
        <v>68</v>
      </c>
      <c r="N157" s="92" t="s">
        <v>20</v>
      </c>
      <c r="O157" s="87" t="s">
        <v>69</v>
      </c>
      <c r="P157" s="87"/>
      <c r="Q157" s="87" t="s">
        <v>681</v>
      </c>
      <c r="R157" s="93" t="s">
        <v>71</v>
      </c>
      <c r="S157" s="87"/>
      <c r="T157" s="87"/>
      <c r="U157" s="94" t="str">
        <f t="array" ref="U157">IFERROR(INDEX(DFD!$D$2:$D$1048791,MATCH($Q157,DFD!$B$2:$B$1048791,0)),"")</f>
        <v/>
      </c>
      <c r="V157" s="94" t="s">
        <v>280</v>
      </c>
      <c r="W157" s="97" t="str">
        <f t="array" ref="W157">IFERROR(INDEX(DFD!$E$2:$E$1048791,MATCH($Q157,DFD!$B$2:$B$1048791,0)),"")</f>
        <v/>
      </c>
      <c r="X157" s="97" t="str">
        <f t="array" ref="X157">IFERROR(INDEX(DFD!$K$2:$K$1048791,MATCH($Q157,DFD!$B$2:$B$1048791,0)),"")</f>
        <v/>
      </c>
      <c r="Y157" s="97" t="str">
        <f t="array" ref="Y157">IFERROR(INDEX(DFD!$L$2:$L$1048790,MATCH($Q157,DFD!$B$2:$B$1048790,0)),"")</f>
        <v/>
      </c>
      <c r="Z157" s="97">
        <f t="shared" si="10"/>
        <v>45</v>
      </c>
      <c r="AA157" s="150" t="s">
        <v>683</v>
      </c>
      <c r="AB157" s="87" t="s">
        <v>78</v>
      </c>
      <c r="AC157" s="87"/>
      <c r="AD157" s="99">
        <v>46043.0</v>
      </c>
      <c r="AE157" s="100">
        <f t="shared" si="8"/>
        <v>1</v>
      </c>
    </row>
    <row r="158" ht="15.75" customHeight="1">
      <c r="A158" s="59" t="s">
        <v>684</v>
      </c>
      <c r="B158" s="59" t="s">
        <v>277</v>
      </c>
      <c r="C158" s="60" t="s">
        <v>685</v>
      </c>
      <c r="D158" s="60" t="s">
        <v>51</v>
      </c>
      <c r="E158" s="60">
        <v>25.0</v>
      </c>
      <c r="F158" s="72">
        <v>2250.0</v>
      </c>
      <c r="G158" s="73" t="s">
        <v>53</v>
      </c>
      <c r="H158" s="74">
        <v>46174.0</v>
      </c>
      <c r="I158" s="67" t="s">
        <v>17</v>
      </c>
      <c r="J158" s="67" t="s">
        <v>54</v>
      </c>
      <c r="K158" s="67" t="s">
        <v>66</v>
      </c>
      <c r="L158" s="67" t="s">
        <v>67</v>
      </c>
      <c r="M158" s="73" t="s">
        <v>167</v>
      </c>
      <c r="N158" s="67" t="s">
        <v>5</v>
      </c>
      <c r="O158" s="67" t="s">
        <v>89</v>
      </c>
      <c r="P158" s="59"/>
      <c r="Q158" s="59" t="s">
        <v>672</v>
      </c>
      <c r="R158" s="76" t="s">
        <v>269</v>
      </c>
      <c r="S158" s="59"/>
      <c r="T158" s="59"/>
      <c r="U158" s="77" t="str">
        <f t="array" ref="U158">IFERROR(INDEX(DFD!$D$2:$D$1048791,MATCH($Q158,DFD!$B$2:$B$1048791,0)),"")</f>
        <v/>
      </c>
      <c r="V158" s="77" t="str">
        <f t="array" ref="V158">IFERROR(INDEX(DFD!$F$2:$F$1048791,MATCH($Q158,DFD!$B$2:$B$1048791,0)),"")</f>
        <v/>
      </c>
      <c r="W158" s="84" t="str">
        <f t="array" ref="W158">IFERROR(INDEX(DFD!$E$2:$E$1048791,MATCH($Q158,DFD!$B$2:$B$1048791,0)),"")</f>
        <v/>
      </c>
      <c r="X158" s="84" t="str">
        <f t="array" ref="X158">IFERROR(INDEX(DFD!$K$2:$K$1048791,MATCH($Q158,DFD!$B$2:$B$1048791,0)),"")</f>
        <v/>
      </c>
      <c r="Y158" s="84" t="str">
        <f t="array" ref="Y158">IFERROR(INDEX(DFD!$L$2:$L$1048790,MATCH($Q158,DFD!$B$2:$B$1048790,0)),"")</f>
        <v/>
      </c>
      <c r="Z158" s="84">
        <f t="shared" si="10"/>
        <v>45</v>
      </c>
      <c r="AA158" s="59"/>
      <c r="AB158" s="59" t="s">
        <v>78</v>
      </c>
      <c r="AC158" s="59"/>
      <c r="AD158" s="85">
        <v>46043.0</v>
      </c>
      <c r="AE158" s="86">
        <f t="shared" si="8"/>
        <v>1</v>
      </c>
    </row>
    <row r="159" ht="15.75" customHeight="1">
      <c r="A159" s="87" t="s">
        <v>687</v>
      </c>
      <c r="B159" s="87" t="s">
        <v>105</v>
      </c>
      <c r="C159" s="88" t="s">
        <v>688</v>
      </c>
      <c r="D159" s="88" t="s">
        <v>51</v>
      </c>
      <c r="E159" s="88">
        <v>1.0</v>
      </c>
      <c r="F159" s="89">
        <v>4200.0</v>
      </c>
      <c r="G159" s="90" t="s">
        <v>53</v>
      </c>
      <c r="H159" s="91">
        <v>46204.0</v>
      </c>
      <c r="I159" s="92" t="s">
        <v>17</v>
      </c>
      <c r="J159" s="92" t="s">
        <v>54</v>
      </c>
      <c r="K159" s="92" t="s">
        <v>66</v>
      </c>
      <c r="L159" s="92" t="s">
        <v>67</v>
      </c>
      <c r="M159" s="90" t="s">
        <v>167</v>
      </c>
      <c r="N159" s="92" t="s">
        <v>5</v>
      </c>
      <c r="O159" s="87" t="s">
        <v>69</v>
      </c>
      <c r="P159" s="87"/>
      <c r="Q159" s="87" t="s">
        <v>689</v>
      </c>
      <c r="R159" s="93" t="s">
        <v>114</v>
      </c>
      <c r="S159" s="87"/>
      <c r="T159" s="87"/>
      <c r="U159" s="94" t="str">
        <f t="array" ref="U159">IFERROR(INDEX(DFD!$D$2:$D$1048791,MATCH($Q159,DFD!$B$2:$B$1048791,0)),"")</f>
        <v/>
      </c>
      <c r="V159" s="94" t="s">
        <v>280</v>
      </c>
      <c r="W159" s="97" t="str">
        <f t="array" ref="W159">IFERROR(INDEX(DFD!$E$2:$E$1048791,MATCH($Q159,DFD!$B$2:$B$1048791,0)),"")</f>
        <v/>
      </c>
      <c r="X159" s="97" t="str">
        <f t="array" ref="X159">IFERROR(INDEX(DFD!$K$2:$K$1048791,MATCH($Q159,DFD!$B$2:$B$1048791,0)),"")</f>
        <v/>
      </c>
      <c r="Y159" s="97" t="str">
        <f t="array" ref="Y159">IFERROR(INDEX(DFD!$L$2:$L$1048790,MATCH($Q159,DFD!$B$2:$B$1048790,0)),"")</f>
        <v/>
      </c>
      <c r="Z159" s="97">
        <f t="shared" si="10"/>
        <v>45</v>
      </c>
      <c r="AA159" s="87"/>
      <c r="AB159" s="87" t="s">
        <v>78</v>
      </c>
      <c r="AC159" s="87"/>
      <c r="AD159" s="99">
        <v>46043.0</v>
      </c>
      <c r="AE159" s="100">
        <f t="shared" si="8"/>
        <v>1</v>
      </c>
    </row>
    <row r="160" ht="15.75" customHeight="1">
      <c r="A160" s="67" t="s">
        <v>690</v>
      </c>
      <c r="B160" s="59" t="s">
        <v>184</v>
      </c>
      <c r="C160" s="60" t="s">
        <v>691</v>
      </c>
      <c r="D160" s="60" t="s">
        <v>51</v>
      </c>
      <c r="E160" s="60">
        <v>10.0</v>
      </c>
      <c r="F160" s="72">
        <v>34.5</v>
      </c>
      <c r="G160" s="73" t="s">
        <v>53</v>
      </c>
      <c r="H160" s="74">
        <v>46143.0</v>
      </c>
      <c r="I160" s="67" t="s">
        <v>17</v>
      </c>
      <c r="J160" s="67" t="s">
        <v>54</v>
      </c>
      <c r="K160" s="67" t="s">
        <v>66</v>
      </c>
      <c r="L160" s="67" t="s">
        <v>67</v>
      </c>
      <c r="M160" s="73" t="s">
        <v>68</v>
      </c>
      <c r="N160" s="67" t="s">
        <v>20</v>
      </c>
      <c r="O160" s="59" t="s">
        <v>69</v>
      </c>
      <c r="P160" s="59"/>
      <c r="Q160" s="59" t="s">
        <v>286</v>
      </c>
      <c r="R160" s="76" t="s">
        <v>287</v>
      </c>
      <c r="S160" s="59"/>
      <c r="T160" s="59"/>
      <c r="U160" s="77" t="str">
        <f t="array" ref="U160">IFERROR(INDEX(DFD!$D$2:$D$1048791,MATCH($Q160,DFD!$B$2:$B$1048791,0)),"")</f>
        <v/>
      </c>
      <c r="V160" s="77" t="str">
        <f t="array" ref="V160">IFERROR(INDEX(DFD!$F$2:$F$1048791,MATCH($Q160,DFD!$B$2:$B$1048791,0)),"")</f>
        <v/>
      </c>
      <c r="W160" s="84" t="str">
        <f t="array" ref="W160">IFERROR(INDEX(DFD!$E$2:$E$1048791,MATCH($Q160,DFD!$B$2:$B$1048791,0)),"")</f>
        <v/>
      </c>
      <c r="X160" s="84" t="str">
        <f t="array" ref="X160">IFERROR(INDEX(DFD!$K$2:$K$1048791,MATCH($Q160,DFD!$B$2:$B$1048791,0)),"")</f>
        <v/>
      </c>
      <c r="Y160" s="84" t="str">
        <f t="array" ref="Y160">IFERROR(INDEX(DFD!$L$2:$L$1048790,MATCH($Q160,DFD!$B$2:$B$1048790,0)),"")</f>
        <v/>
      </c>
      <c r="Z160" s="84">
        <f t="shared" si="10"/>
        <v>45</v>
      </c>
      <c r="AA160" s="59"/>
      <c r="AB160" s="59" t="s">
        <v>288</v>
      </c>
      <c r="AC160" s="59"/>
      <c r="AD160" s="85">
        <v>46043.0</v>
      </c>
      <c r="AE160" s="86">
        <f t="shared" si="8"/>
        <v>1</v>
      </c>
    </row>
    <row r="161" ht="15.75" customHeight="1">
      <c r="A161" s="87" t="s">
        <v>692</v>
      </c>
      <c r="B161" s="87" t="s">
        <v>92</v>
      </c>
      <c r="C161" s="88" t="s">
        <v>693</v>
      </c>
      <c r="D161" s="88" t="s">
        <v>51</v>
      </c>
      <c r="E161" s="88">
        <v>4.0</v>
      </c>
      <c r="F161" s="89">
        <v>120.0</v>
      </c>
      <c r="G161" s="90" t="s">
        <v>53</v>
      </c>
      <c r="H161" s="91">
        <v>46143.0</v>
      </c>
      <c r="I161" s="92" t="s">
        <v>17</v>
      </c>
      <c r="J161" s="92" t="s">
        <v>54</v>
      </c>
      <c r="K161" s="92" t="s">
        <v>66</v>
      </c>
      <c r="L161" s="92" t="s">
        <v>67</v>
      </c>
      <c r="M161" s="90" t="s">
        <v>117</v>
      </c>
      <c r="N161" s="92" t="s">
        <v>5</v>
      </c>
      <c r="O161" s="92" t="s">
        <v>89</v>
      </c>
      <c r="P161" s="87"/>
      <c r="Q161" s="87" t="s">
        <v>275</v>
      </c>
      <c r="R161" s="93" t="s">
        <v>71</v>
      </c>
      <c r="S161" s="87"/>
      <c r="T161" s="87"/>
      <c r="U161" s="94" t="str">
        <f t="array" ref="U161">IFERROR(INDEX(DFD!$D$2:$D$1048791,MATCH($Q161,DFD!$B$2:$B$1048791,0)),"")</f>
        <v/>
      </c>
      <c r="V161" s="94" t="str">
        <f t="array" ref="V161">IFERROR(INDEX(DFD!$F$2:$F$1048791,MATCH($Q161,DFD!$B$2:$B$1048791,0)),"")</f>
        <v/>
      </c>
      <c r="W161" s="97" t="str">
        <f t="array" ref="W161">IFERROR(INDEX(DFD!$E$2:$E$1048791,MATCH($Q161,DFD!$B$2:$B$1048791,0)),"")</f>
        <v/>
      </c>
      <c r="X161" s="97" t="str">
        <f t="array" ref="X161">IFERROR(INDEX(DFD!$K$2:$K$1048791,MATCH($Q161,DFD!$B$2:$B$1048791,0)),"")</f>
        <v/>
      </c>
      <c r="Y161" s="97" t="str">
        <f t="array" ref="Y161">IFERROR(INDEX(DFD!$L$2:$L$1048790,MATCH($Q161,DFD!$B$2:$B$1048790,0)),"")</f>
        <v/>
      </c>
      <c r="Z161" s="97">
        <f t="shared" si="10"/>
        <v>45</v>
      </c>
      <c r="AA161" s="87"/>
      <c r="AB161" s="87" t="s">
        <v>78</v>
      </c>
      <c r="AC161" s="87"/>
      <c r="AD161" s="99">
        <v>46043.0</v>
      </c>
      <c r="AE161" s="100">
        <f t="shared" si="8"/>
        <v>1</v>
      </c>
    </row>
    <row r="162" ht="15.75" customHeight="1">
      <c r="A162" s="59" t="s">
        <v>696</v>
      </c>
      <c r="B162" s="59" t="s">
        <v>98</v>
      </c>
      <c r="C162" s="60" t="s">
        <v>693</v>
      </c>
      <c r="D162" s="60" t="s">
        <v>51</v>
      </c>
      <c r="E162" s="60">
        <v>4.0</v>
      </c>
      <c r="F162" s="72">
        <v>120.0</v>
      </c>
      <c r="G162" s="73" t="s">
        <v>53</v>
      </c>
      <c r="H162" s="74">
        <v>46143.0</v>
      </c>
      <c r="I162" s="67" t="s">
        <v>17</v>
      </c>
      <c r="J162" s="67" t="s">
        <v>54</v>
      </c>
      <c r="K162" s="67" t="s">
        <v>66</v>
      </c>
      <c r="L162" s="67" t="s">
        <v>67</v>
      </c>
      <c r="M162" s="73" t="s">
        <v>117</v>
      </c>
      <c r="N162" s="67" t="s">
        <v>5</v>
      </c>
      <c r="O162" s="59" t="s">
        <v>69</v>
      </c>
      <c r="P162" s="59"/>
      <c r="Q162" s="59" t="s">
        <v>275</v>
      </c>
      <c r="R162" s="76" t="s">
        <v>71</v>
      </c>
      <c r="S162" s="59"/>
      <c r="T162" s="59"/>
      <c r="U162" s="77" t="str">
        <f t="array" ref="U162">IFERROR(INDEX(DFD!$D$2:$D$1048791,MATCH($Q162,DFD!$B$2:$B$1048791,0)),"")</f>
        <v/>
      </c>
      <c r="V162" s="77" t="str">
        <f t="array" ref="V162">IFERROR(INDEX(DFD!$F$2:$F$1048791,MATCH($Q162,DFD!$B$2:$B$1048791,0)),"")</f>
        <v/>
      </c>
      <c r="W162" s="84" t="str">
        <f t="array" ref="W162">IFERROR(INDEX(DFD!$E$2:$E$1048791,MATCH($Q162,DFD!$B$2:$B$1048791,0)),"")</f>
        <v/>
      </c>
      <c r="X162" s="84" t="str">
        <f t="array" ref="X162">IFERROR(INDEX(DFD!$K$2:$K$1048791,MATCH($Q162,DFD!$B$2:$B$1048791,0)),"")</f>
        <v/>
      </c>
      <c r="Y162" s="84" t="str">
        <f t="array" ref="Y162">IFERROR(INDEX(DFD!$L$2:$L$1048790,MATCH($Q162,DFD!$B$2:$B$1048790,0)),"")</f>
        <v/>
      </c>
      <c r="Z162" s="84">
        <f t="shared" si="10"/>
        <v>45</v>
      </c>
      <c r="AA162" s="59"/>
      <c r="AB162" s="59" t="s">
        <v>78</v>
      </c>
      <c r="AC162" s="59"/>
      <c r="AD162" s="85">
        <v>46043.0</v>
      </c>
      <c r="AE162" s="86">
        <f t="shared" si="8"/>
        <v>1</v>
      </c>
    </row>
    <row r="163" ht="15.75" customHeight="1">
      <c r="A163" s="92" t="s">
        <v>698</v>
      </c>
      <c r="B163" s="71" t="s">
        <v>184</v>
      </c>
      <c r="C163" s="88" t="s">
        <v>699</v>
      </c>
      <c r="D163" s="116" t="s">
        <v>51</v>
      </c>
      <c r="E163" s="116">
        <v>10.0</v>
      </c>
      <c r="F163" s="137">
        <v>7500.0</v>
      </c>
      <c r="G163" s="90" t="s">
        <v>53</v>
      </c>
      <c r="H163" s="118">
        <v>46266.0</v>
      </c>
      <c r="I163" s="92" t="s">
        <v>17</v>
      </c>
      <c r="J163" s="92" t="s">
        <v>54</v>
      </c>
      <c r="K163" s="92" t="s">
        <v>66</v>
      </c>
      <c r="L163" s="92" t="s">
        <v>56</v>
      </c>
      <c r="M163" s="90" t="s">
        <v>132</v>
      </c>
      <c r="N163" s="92" t="s">
        <v>20</v>
      </c>
      <c r="O163" s="87" t="s">
        <v>69</v>
      </c>
      <c r="P163" s="87"/>
      <c r="Q163" s="87" t="s">
        <v>701</v>
      </c>
      <c r="R163" s="93" t="s">
        <v>71</v>
      </c>
      <c r="S163" s="87"/>
      <c r="T163" s="87"/>
      <c r="U163" s="94" t="str">
        <f t="array" ref="U163">IFERROR(INDEX(DFD!$D$2:$D$1048791,MATCH($Q163,DFD!$B$2:$B$1048791,0)),"")</f>
        <v/>
      </c>
      <c r="V163" s="94" t="s">
        <v>280</v>
      </c>
      <c r="W163" s="97" t="str">
        <f t="array" ref="W163">IFERROR(INDEX(DFD!$E$2:$E$1048791,MATCH($Q163,DFD!$B$2:$B$1048791,0)),"")</f>
        <v/>
      </c>
      <c r="X163" s="97" t="str">
        <f t="array" ref="X163">IFERROR(INDEX(DFD!$K$2:$K$1048791,MATCH($Q163,DFD!$B$2:$B$1048791,0)),"")</f>
        <v/>
      </c>
      <c r="Y163" s="97" t="str">
        <f t="array" ref="Y163">IFERROR(INDEX(DFD!$L$2:$L$1048790,MATCH($Q163,DFD!$B$2:$B$1048790,0)),"")</f>
        <v/>
      </c>
      <c r="Z163" s="97">
        <f t="shared" si="10"/>
        <v>45</v>
      </c>
      <c r="AA163" s="87"/>
      <c r="AB163" s="87" t="s">
        <v>78</v>
      </c>
      <c r="AC163" s="87"/>
      <c r="AD163" s="99">
        <v>46043.0</v>
      </c>
      <c r="AE163" s="100">
        <f t="shared" si="8"/>
        <v>1</v>
      </c>
    </row>
    <row r="164" ht="15.75" customHeight="1">
      <c r="A164" s="59" t="s">
        <v>703</v>
      </c>
      <c r="B164" s="59" t="s">
        <v>123</v>
      </c>
      <c r="C164" s="60" t="s">
        <v>704</v>
      </c>
      <c r="D164" s="60" t="s">
        <v>51</v>
      </c>
      <c r="E164" s="60">
        <v>12.0</v>
      </c>
      <c r="F164" s="72">
        <v>5400.0</v>
      </c>
      <c r="G164" s="73" t="s">
        <v>53</v>
      </c>
      <c r="H164" s="74">
        <v>46204.0</v>
      </c>
      <c r="I164" s="67" t="s">
        <v>17</v>
      </c>
      <c r="J164" s="67" t="s">
        <v>54</v>
      </c>
      <c r="K164" s="67" t="s">
        <v>66</v>
      </c>
      <c r="L164" s="67" t="s">
        <v>67</v>
      </c>
      <c r="M164" s="73" t="s">
        <v>68</v>
      </c>
      <c r="N164" s="67" t="s">
        <v>58</v>
      </c>
      <c r="O164" s="67" t="s">
        <v>89</v>
      </c>
      <c r="P164" s="59"/>
      <c r="Q164" s="59" t="s">
        <v>705</v>
      </c>
      <c r="R164" s="76" t="s">
        <v>71</v>
      </c>
      <c r="S164" s="59"/>
      <c r="T164" s="59"/>
      <c r="U164" s="77" t="str">
        <f t="array" ref="U164">IFERROR(INDEX(DFD!$D$2:$D$1048791,MATCH($Q164,DFD!$B$2:$B$1048791,0)),"")</f>
        <v/>
      </c>
      <c r="V164" s="77" t="str">
        <f t="array" ref="V164">IFERROR(INDEX(DFD!$F$2:$F$1048791,MATCH($Q164,DFD!$B$2:$B$1048791,0)),"")</f>
        <v/>
      </c>
      <c r="W164" s="84" t="str">
        <f t="array" ref="W164">IFERROR(INDEX(DFD!$E$2:$E$1048791,MATCH($Q164,DFD!$B$2:$B$1048791,0)),"")</f>
        <v/>
      </c>
      <c r="X164" s="84" t="str">
        <f t="array" ref="X164">IFERROR(INDEX(DFD!$K$2:$K$1048791,MATCH($Q164,DFD!$B$2:$B$1048791,0)),"")</f>
        <v/>
      </c>
      <c r="Y164" s="84" t="str">
        <f t="array" ref="Y164">IFERROR(INDEX(DFD!$L$2:$L$1048790,MATCH($Q164,DFD!$B$2:$B$1048790,0)),"")</f>
        <v/>
      </c>
      <c r="Z164" s="84">
        <f t="shared" si="10"/>
        <v>45</v>
      </c>
      <c r="AA164" s="59"/>
      <c r="AB164" s="59" t="s">
        <v>78</v>
      </c>
      <c r="AC164" s="59"/>
      <c r="AD164" s="85">
        <v>46043.0</v>
      </c>
      <c r="AE164" s="86">
        <f t="shared" si="8"/>
        <v>1</v>
      </c>
    </row>
    <row r="165" ht="15.75" customHeight="1">
      <c r="A165" s="92" t="s">
        <v>707</v>
      </c>
      <c r="B165" s="87" t="s">
        <v>184</v>
      </c>
      <c r="C165" s="88" t="s">
        <v>708</v>
      </c>
      <c r="D165" s="88" t="s">
        <v>51</v>
      </c>
      <c r="E165" s="88">
        <v>50.0</v>
      </c>
      <c r="F165" s="89">
        <v>4000.0</v>
      </c>
      <c r="G165" s="90" t="s">
        <v>53</v>
      </c>
      <c r="H165" s="91">
        <v>46204.0</v>
      </c>
      <c r="I165" s="92" t="s">
        <v>17</v>
      </c>
      <c r="J165" s="92" t="s">
        <v>54</v>
      </c>
      <c r="K165" s="92" t="s">
        <v>66</v>
      </c>
      <c r="L165" s="92" t="s">
        <v>67</v>
      </c>
      <c r="M165" s="90" t="s">
        <v>104</v>
      </c>
      <c r="N165" s="92" t="s">
        <v>20</v>
      </c>
      <c r="O165" s="87" t="s">
        <v>69</v>
      </c>
      <c r="P165" s="87"/>
      <c r="Q165" s="87" t="s">
        <v>709</v>
      </c>
      <c r="R165" s="93" t="s">
        <v>71</v>
      </c>
      <c r="S165" s="87"/>
      <c r="T165" s="87"/>
      <c r="U165" s="94" t="str">
        <f t="array" ref="U165">IFERROR(INDEX(DFD!$D$2:$D$1048791,MATCH($Q165,DFD!$B$2:$B$1048791,0)),"")</f>
        <v/>
      </c>
      <c r="V165" s="94" t="s">
        <v>280</v>
      </c>
      <c r="W165" s="97" t="str">
        <f t="array" ref="W165">IFERROR(INDEX(DFD!$E$2:$E$1048791,MATCH($Q165,DFD!$B$2:$B$1048791,0)),"")</f>
        <v/>
      </c>
      <c r="X165" s="97" t="str">
        <f t="array" ref="X165">IFERROR(INDEX(DFD!$K$2:$K$1048791,MATCH($Q165,DFD!$B$2:$B$1048791,0)),"")</f>
        <v/>
      </c>
      <c r="Y165" s="97" t="str">
        <f t="array" ref="Y165">IFERROR(INDEX(DFD!$L$2:$L$1048790,MATCH($Q165,DFD!$B$2:$B$1048790,0)),"")</f>
        <v/>
      </c>
      <c r="Z165" s="97">
        <f t="shared" si="10"/>
        <v>45</v>
      </c>
      <c r="AA165" s="87"/>
      <c r="AB165" s="87" t="s">
        <v>78</v>
      </c>
      <c r="AC165" s="87"/>
      <c r="AD165" s="99">
        <v>46043.0</v>
      </c>
      <c r="AE165" s="100">
        <f t="shared" si="8"/>
        <v>1</v>
      </c>
    </row>
    <row r="166" ht="15.75" customHeight="1">
      <c r="A166" s="67" t="s">
        <v>713</v>
      </c>
      <c r="B166" s="59" t="s">
        <v>184</v>
      </c>
      <c r="C166" s="60" t="s">
        <v>714</v>
      </c>
      <c r="D166" s="60" t="s">
        <v>51</v>
      </c>
      <c r="E166" s="60">
        <v>30.0</v>
      </c>
      <c r="F166" s="72">
        <v>1365.0</v>
      </c>
      <c r="G166" s="73" t="s">
        <v>53</v>
      </c>
      <c r="H166" s="74">
        <v>46174.0</v>
      </c>
      <c r="I166" s="67" t="s">
        <v>17</v>
      </c>
      <c r="J166" s="67" t="s">
        <v>54</v>
      </c>
      <c r="K166" s="67" t="s">
        <v>66</v>
      </c>
      <c r="L166" s="67" t="s">
        <v>67</v>
      </c>
      <c r="M166" s="73" t="s">
        <v>104</v>
      </c>
      <c r="N166" s="67" t="s">
        <v>20</v>
      </c>
      <c r="O166" s="59" t="s">
        <v>69</v>
      </c>
      <c r="P166" s="59"/>
      <c r="Q166" s="59" t="s">
        <v>715</v>
      </c>
      <c r="R166" s="76" t="s">
        <v>269</v>
      </c>
      <c r="S166" s="59"/>
      <c r="T166" s="59"/>
      <c r="U166" s="77" t="str">
        <f t="array" ref="U166">IFERROR(INDEX(DFD!$D$2:$D$1048791,MATCH($Q166,DFD!$B$2:$B$1048791,0)),"")</f>
        <v/>
      </c>
      <c r="V166" s="77" t="str">
        <f t="array" ref="V166">IFERROR(INDEX(DFD!$F$2:$F$1048791,MATCH($Q166,DFD!$B$2:$B$1048791,0)),"")</f>
        <v/>
      </c>
      <c r="W166" s="84" t="str">
        <f t="array" ref="W166">IFERROR(INDEX(DFD!$E$2:$E$1048791,MATCH($Q166,DFD!$B$2:$B$1048791,0)),"")</f>
        <v/>
      </c>
      <c r="X166" s="84" t="str">
        <f t="array" ref="X166">IFERROR(INDEX(DFD!$K$2:$K$1048791,MATCH($Q166,DFD!$B$2:$B$1048791,0)),"")</f>
        <v/>
      </c>
      <c r="Y166" s="84" t="str">
        <f t="array" ref="Y166">IFERROR(INDEX(DFD!$L$2:$L$1048790,MATCH($Q166,DFD!$B$2:$B$1048790,0)),"")</f>
        <v/>
      </c>
      <c r="Z166" s="84">
        <f t="shared" si="10"/>
        <v>45</v>
      </c>
      <c r="AA166" s="59"/>
      <c r="AB166" s="59" t="s">
        <v>78</v>
      </c>
      <c r="AC166" s="59"/>
      <c r="AD166" s="85">
        <v>46043.0</v>
      </c>
      <c r="AE166" s="86">
        <f t="shared" si="8"/>
        <v>1</v>
      </c>
    </row>
    <row r="167" ht="15.75" customHeight="1">
      <c r="A167" s="87" t="s">
        <v>719</v>
      </c>
      <c r="B167" s="87" t="s">
        <v>162</v>
      </c>
      <c r="C167" s="88" t="s">
        <v>720</v>
      </c>
      <c r="D167" s="88" t="s">
        <v>51</v>
      </c>
      <c r="E167" s="88">
        <v>3000.0</v>
      </c>
      <c r="F167" s="89">
        <v>153354.0</v>
      </c>
      <c r="G167" s="90" t="s">
        <v>53</v>
      </c>
      <c r="H167" s="91">
        <v>46266.0</v>
      </c>
      <c r="I167" s="92" t="s">
        <v>17</v>
      </c>
      <c r="J167" s="92" t="s">
        <v>54</v>
      </c>
      <c r="K167" s="92" t="s">
        <v>721</v>
      </c>
      <c r="L167" s="92" t="s">
        <v>67</v>
      </c>
      <c r="M167" s="90" t="s">
        <v>57</v>
      </c>
      <c r="N167" s="92" t="s">
        <v>5</v>
      </c>
      <c r="O167" s="92" t="s">
        <v>89</v>
      </c>
      <c r="P167" s="87"/>
      <c r="Q167" s="87">
        <v>2025.0</v>
      </c>
      <c r="R167" s="93" t="s">
        <v>287</v>
      </c>
      <c r="S167" s="87"/>
      <c r="T167" s="87"/>
      <c r="U167" s="94" t="s">
        <v>722</v>
      </c>
      <c r="V167" s="94" t="s">
        <v>162</v>
      </c>
      <c r="W167" s="97" t="str">
        <f t="array" ref="W167">IFERROR(INDEX(DFD!$E$2:$E$1048791,MATCH($Q167,DFD!$B$2:$B$1048791,0)),"")</f>
        <v/>
      </c>
      <c r="X167" s="97" t="str">
        <f t="array" ref="X167">IFERROR(INDEX(DFD!$K$2:$K$1048791,MATCH($Q167,DFD!$B$2:$B$1048791,0)),"")</f>
        <v/>
      </c>
      <c r="Y167" s="97" t="str">
        <f t="array" ref="Y167">IFERROR(INDEX(DFD!$L$2:$L$1048790,MATCH($Q167,DFD!$B$2:$B$1048790,0)),"")</f>
        <v/>
      </c>
      <c r="Z167" s="97">
        <f t="shared" si="10"/>
        <v>45</v>
      </c>
      <c r="AA167" s="87"/>
      <c r="AB167" s="87" t="s">
        <v>78</v>
      </c>
      <c r="AC167" s="87"/>
      <c r="AD167" s="99">
        <v>46043.0</v>
      </c>
      <c r="AE167" s="100">
        <f t="shared" si="8"/>
        <v>1</v>
      </c>
    </row>
    <row r="168" ht="15.75" customHeight="1">
      <c r="A168" s="59" t="s">
        <v>726</v>
      </c>
      <c r="B168" s="59" t="s">
        <v>52</v>
      </c>
      <c r="C168" s="60" t="s">
        <v>720</v>
      </c>
      <c r="D168" s="60" t="s">
        <v>51</v>
      </c>
      <c r="E168" s="60">
        <v>2500.0</v>
      </c>
      <c r="F168" s="72">
        <v>75000.0</v>
      </c>
      <c r="G168" s="73" t="s">
        <v>53</v>
      </c>
      <c r="H168" s="74">
        <v>46266.0</v>
      </c>
      <c r="I168" s="67" t="s">
        <v>17</v>
      </c>
      <c r="J168" s="67" t="s">
        <v>54</v>
      </c>
      <c r="K168" s="67" t="s">
        <v>721</v>
      </c>
      <c r="L168" s="67" t="s">
        <v>56</v>
      </c>
      <c r="M168" s="73" t="s">
        <v>112</v>
      </c>
      <c r="N168" s="67" t="s">
        <v>58</v>
      </c>
      <c r="O168" s="59" t="s">
        <v>69</v>
      </c>
      <c r="P168" s="59"/>
      <c r="Q168" s="59" t="s">
        <v>52</v>
      </c>
      <c r="R168" s="76" t="s">
        <v>287</v>
      </c>
      <c r="S168" s="59"/>
      <c r="T168" s="59"/>
      <c r="U168" s="77" t="str">
        <f t="array" ref="U168">IFERROR(INDEX(DFD!$D$2:$D$1048791,MATCH($Q168,DFD!$B$2:$B$1048791,0)),"")</f>
        <v/>
      </c>
      <c r="V168" s="77" t="str">
        <f t="array" ref="V168">IFERROR(INDEX(DFD!$F$2:$F$1048791,MATCH($Q168,DFD!$B$2:$B$1048791,0)),"")</f>
        <v/>
      </c>
      <c r="W168" s="84" t="str">
        <f t="array" ref="W168">IFERROR(INDEX(DFD!$E$2:$E$1048791,MATCH($Q168,DFD!$B$2:$B$1048791,0)),"")</f>
        <v/>
      </c>
      <c r="X168" s="84" t="str">
        <f t="array" ref="X168">IFERROR(INDEX(DFD!$K$2:$K$1048791,MATCH($Q168,DFD!$B$2:$B$1048791,0)),"")</f>
        <v/>
      </c>
      <c r="Y168" s="84" t="str">
        <f t="array" ref="Y168">IFERROR(INDEX(DFD!$L$2:$L$1048790,MATCH($Q168,DFD!$B$2:$B$1048790,0)),"")</f>
        <v/>
      </c>
      <c r="Z168" s="84">
        <f t="shared" si="10"/>
        <v>45</v>
      </c>
      <c r="AA168" s="59"/>
      <c r="AB168" s="59" t="s">
        <v>72</v>
      </c>
      <c r="AC168" s="59"/>
      <c r="AD168" s="85">
        <v>46043.0</v>
      </c>
      <c r="AE168" s="86">
        <f t="shared" si="8"/>
        <v>1</v>
      </c>
    </row>
    <row r="169" ht="15.75" customHeight="1">
      <c r="A169" s="87" t="s">
        <v>728</v>
      </c>
      <c r="B169" s="87" t="s">
        <v>101</v>
      </c>
      <c r="C169" s="88" t="s">
        <v>729</v>
      </c>
      <c r="D169" s="88" t="s">
        <v>51</v>
      </c>
      <c r="E169" s="88">
        <v>2.0</v>
      </c>
      <c r="F169" s="89">
        <v>200.0</v>
      </c>
      <c r="G169" s="90" t="s">
        <v>53</v>
      </c>
      <c r="H169" s="91">
        <v>46143.0</v>
      </c>
      <c r="I169" s="92" t="s">
        <v>17</v>
      </c>
      <c r="J169" s="92" t="s">
        <v>54</v>
      </c>
      <c r="K169" s="92" t="s">
        <v>66</v>
      </c>
      <c r="L169" s="92" t="s">
        <v>56</v>
      </c>
      <c r="M169" s="90" t="s">
        <v>132</v>
      </c>
      <c r="N169" s="92" t="s">
        <v>58</v>
      </c>
      <c r="O169" s="87" t="s">
        <v>69</v>
      </c>
      <c r="P169" s="87"/>
      <c r="Q169" s="87" t="s">
        <v>118</v>
      </c>
      <c r="R169" s="93" t="s">
        <v>181</v>
      </c>
      <c r="S169" s="87"/>
      <c r="T169" s="87"/>
      <c r="U169" s="94" t="str">
        <f t="array" ref="U169">IFERROR(INDEX(DFD!$D$2:$D$1048791,MATCH($Q169,DFD!$B$2:$B$1048791,0)),"")</f>
        <v/>
      </c>
      <c r="V169" s="94" t="str">
        <f t="array" ref="V169">IFERROR(INDEX(DFD!$F$2:$F$1048791,MATCH($Q169,DFD!$B$2:$B$1048791,0)),"")</f>
        <v/>
      </c>
      <c r="W169" s="97" t="str">
        <f t="array" ref="W169">IFERROR(INDEX(DFD!$E$2:$E$1048791,MATCH($Q169,DFD!$B$2:$B$1048791,0)),"")</f>
        <v/>
      </c>
      <c r="X169" s="97" t="str">
        <f t="array" ref="X169">IFERROR(INDEX(DFD!$K$2:$K$1048791,MATCH($Q169,DFD!$B$2:$B$1048791,0)),"")</f>
        <v/>
      </c>
      <c r="Y169" s="97" t="str">
        <f t="array" ref="Y169">IFERROR(INDEX(DFD!$L$2:$L$1048790,MATCH($Q169,DFD!$B$2:$B$1048790,0)),"")</f>
        <v/>
      </c>
      <c r="Z169" s="97">
        <f t="shared" si="10"/>
        <v>45</v>
      </c>
      <c r="AA169" s="87"/>
      <c r="AB169" s="87" t="s">
        <v>78</v>
      </c>
      <c r="AC169" s="87"/>
      <c r="AD169" s="99">
        <v>46043.0</v>
      </c>
      <c r="AE169" s="100">
        <f t="shared" si="8"/>
        <v>1</v>
      </c>
    </row>
    <row r="170" ht="15.75" customHeight="1">
      <c r="A170" s="59" t="s">
        <v>730</v>
      </c>
      <c r="B170" s="59" t="s">
        <v>101</v>
      </c>
      <c r="C170" s="60" t="s">
        <v>731</v>
      </c>
      <c r="D170" s="60" t="s">
        <v>51</v>
      </c>
      <c r="E170" s="60">
        <v>2.0</v>
      </c>
      <c r="F170" s="72">
        <v>240.0</v>
      </c>
      <c r="G170" s="73" t="s">
        <v>53</v>
      </c>
      <c r="H170" s="74">
        <v>46143.0</v>
      </c>
      <c r="I170" s="67" t="s">
        <v>17</v>
      </c>
      <c r="J170" s="67" t="s">
        <v>54</v>
      </c>
      <c r="K170" s="67" t="s">
        <v>66</v>
      </c>
      <c r="L170" s="67" t="s">
        <v>56</v>
      </c>
      <c r="M170" s="73" t="s">
        <v>112</v>
      </c>
      <c r="N170" s="67" t="s">
        <v>5</v>
      </c>
      <c r="O170" s="67" t="s">
        <v>89</v>
      </c>
      <c r="P170" s="59"/>
      <c r="Q170" s="59" t="s">
        <v>118</v>
      </c>
      <c r="R170" s="76" t="s">
        <v>181</v>
      </c>
      <c r="S170" s="59"/>
      <c r="T170" s="59"/>
      <c r="U170" s="77" t="str">
        <f t="array" ref="U170">IFERROR(INDEX(DFD!$D$2:$D$1048791,MATCH($Q170,DFD!$B$2:$B$1048791,0)),"")</f>
        <v/>
      </c>
      <c r="V170" s="77" t="str">
        <f t="array" ref="V170">IFERROR(INDEX(DFD!$F$2:$F$1048791,MATCH($Q170,DFD!$B$2:$B$1048791,0)),"")</f>
        <v/>
      </c>
      <c r="W170" s="84" t="str">
        <f t="array" ref="W170">IFERROR(INDEX(DFD!$E$2:$E$1048791,MATCH($Q170,DFD!$B$2:$B$1048791,0)),"")</f>
        <v/>
      </c>
      <c r="X170" s="84" t="str">
        <f t="array" ref="X170">IFERROR(INDEX(DFD!$K$2:$K$1048791,MATCH($Q170,DFD!$B$2:$B$1048791,0)),"")</f>
        <v/>
      </c>
      <c r="Y170" s="84" t="str">
        <f t="array" ref="Y170">IFERROR(INDEX(DFD!$L$2:$L$1048790,MATCH($Q170,DFD!$B$2:$B$1048790,0)),"")</f>
        <v/>
      </c>
      <c r="Z170" s="84">
        <f t="shared" si="10"/>
        <v>45</v>
      </c>
      <c r="AA170" s="59"/>
      <c r="AB170" s="59" t="s">
        <v>78</v>
      </c>
      <c r="AC170" s="59"/>
      <c r="AD170" s="85">
        <v>46043.0</v>
      </c>
      <c r="AE170" s="86">
        <f t="shared" si="8"/>
        <v>1</v>
      </c>
    </row>
    <row r="171" ht="15.75" customHeight="1">
      <c r="A171" s="87" t="s">
        <v>732</v>
      </c>
      <c r="B171" s="87" t="s">
        <v>101</v>
      </c>
      <c r="C171" s="88" t="s">
        <v>733</v>
      </c>
      <c r="D171" s="88" t="s">
        <v>51</v>
      </c>
      <c r="E171" s="88">
        <v>2.0</v>
      </c>
      <c r="F171" s="89">
        <v>360.0</v>
      </c>
      <c r="G171" s="90" t="s">
        <v>53</v>
      </c>
      <c r="H171" s="91">
        <v>46174.0</v>
      </c>
      <c r="I171" s="92" t="s">
        <v>17</v>
      </c>
      <c r="J171" s="92" t="s">
        <v>54</v>
      </c>
      <c r="K171" s="92" t="s">
        <v>66</v>
      </c>
      <c r="L171" s="92" t="s">
        <v>56</v>
      </c>
      <c r="M171" s="90" t="s">
        <v>112</v>
      </c>
      <c r="N171" s="92" t="s">
        <v>58</v>
      </c>
      <c r="O171" s="87" t="s">
        <v>69</v>
      </c>
      <c r="P171" s="87"/>
      <c r="Q171" s="87" t="s">
        <v>118</v>
      </c>
      <c r="R171" s="93" t="s">
        <v>181</v>
      </c>
      <c r="S171" s="87"/>
      <c r="T171" s="87"/>
      <c r="U171" s="94" t="str">
        <f t="array" ref="U171">IFERROR(INDEX(DFD!$D$2:$D$1048791,MATCH($Q171,DFD!$B$2:$B$1048791,0)),"")</f>
        <v/>
      </c>
      <c r="V171" s="94" t="str">
        <f t="array" ref="V171">IFERROR(INDEX(DFD!$F$2:$F$1048791,MATCH($Q171,DFD!$B$2:$B$1048791,0)),"")</f>
        <v/>
      </c>
      <c r="W171" s="97" t="str">
        <f t="array" ref="W171">IFERROR(INDEX(DFD!$E$2:$E$1048791,MATCH($Q171,DFD!$B$2:$B$1048791,0)),"")</f>
        <v/>
      </c>
      <c r="X171" s="97" t="str">
        <f t="array" ref="X171">IFERROR(INDEX(DFD!$K$2:$K$1048791,MATCH($Q171,DFD!$B$2:$B$1048791,0)),"")</f>
        <v/>
      </c>
      <c r="Y171" s="97" t="str">
        <f t="array" ref="Y171">IFERROR(INDEX(DFD!$L$2:$L$1048790,MATCH($Q171,DFD!$B$2:$B$1048790,0)),"")</f>
        <v/>
      </c>
      <c r="Z171" s="97">
        <f t="shared" si="10"/>
        <v>45</v>
      </c>
      <c r="AA171" s="87"/>
      <c r="AB171" s="87" t="s">
        <v>78</v>
      </c>
      <c r="AC171" s="87"/>
      <c r="AD171" s="99">
        <v>46043.0</v>
      </c>
      <c r="AE171" s="100">
        <f t="shared" si="8"/>
        <v>1</v>
      </c>
    </row>
    <row r="172" ht="15.75" customHeight="1">
      <c r="A172" s="59" t="s">
        <v>737</v>
      </c>
      <c r="B172" s="59" t="s">
        <v>101</v>
      </c>
      <c r="C172" s="60" t="s">
        <v>738</v>
      </c>
      <c r="D172" s="60" t="s">
        <v>51</v>
      </c>
      <c r="E172" s="60">
        <v>8.0</v>
      </c>
      <c r="F172" s="72">
        <v>480.0</v>
      </c>
      <c r="G172" s="73" t="s">
        <v>53</v>
      </c>
      <c r="H172" s="74">
        <v>46174.0</v>
      </c>
      <c r="I172" s="67" t="s">
        <v>17</v>
      </c>
      <c r="J172" s="67" t="s">
        <v>54</v>
      </c>
      <c r="K172" s="67" t="s">
        <v>66</v>
      </c>
      <c r="L172" s="67" t="s">
        <v>56</v>
      </c>
      <c r="M172" s="73" t="s">
        <v>132</v>
      </c>
      <c r="N172" s="67" t="s">
        <v>5</v>
      </c>
      <c r="O172" s="59" t="s">
        <v>69</v>
      </c>
      <c r="P172" s="59"/>
      <c r="Q172" s="59" t="s">
        <v>351</v>
      </c>
      <c r="R172" s="76" t="s">
        <v>71</v>
      </c>
      <c r="S172" s="59"/>
      <c r="T172" s="59"/>
      <c r="U172" s="77" t="str">
        <f t="array" ref="U172">IFERROR(INDEX(DFD!$D$2:$D$1048791,MATCH($Q172,DFD!$B$2:$B$1048791,0)),"")</f>
        <v/>
      </c>
      <c r="V172" s="77" t="s">
        <v>280</v>
      </c>
      <c r="W172" s="84" t="str">
        <f t="array" ref="W172">IFERROR(INDEX(DFD!$E$2:$E$1048791,MATCH($Q172,DFD!$B$2:$B$1048791,0)),"")</f>
        <v/>
      </c>
      <c r="X172" s="84" t="str">
        <f t="array" ref="X172">IFERROR(INDEX(DFD!$K$2:$K$1048791,MATCH($Q172,DFD!$B$2:$B$1048791,0)),"")</f>
        <v/>
      </c>
      <c r="Y172" s="84" t="str">
        <f t="array" ref="Y172">IFERROR(INDEX(DFD!$L$2:$L$1048790,MATCH($Q172,DFD!$B$2:$B$1048790,0)),"")</f>
        <v/>
      </c>
      <c r="Z172" s="84">
        <f t="shared" si="10"/>
        <v>45</v>
      </c>
      <c r="AA172" s="59"/>
      <c r="AB172" s="59" t="s">
        <v>78</v>
      </c>
      <c r="AC172" s="59"/>
      <c r="AD172" s="85">
        <v>46043.0</v>
      </c>
      <c r="AE172" s="86">
        <f t="shared" si="8"/>
        <v>1</v>
      </c>
    </row>
    <row r="173" ht="15.75" customHeight="1">
      <c r="A173" s="87" t="s">
        <v>740</v>
      </c>
      <c r="B173" s="87" t="s">
        <v>148</v>
      </c>
      <c r="C173" s="88" t="s">
        <v>741</v>
      </c>
      <c r="D173" s="88" t="s">
        <v>742</v>
      </c>
      <c r="E173" s="88">
        <v>20.0</v>
      </c>
      <c r="F173" s="89">
        <v>6000.0</v>
      </c>
      <c r="G173" s="90" t="s">
        <v>53</v>
      </c>
      <c r="H173" s="91">
        <v>46235.0</v>
      </c>
      <c r="I173" s="92" t="s">
        <v>17</v>
      </c>
      <c r="J173" s="92" t="s">
        <v>54</v>
      </c>
      <c r="K173" s="92" t="s">
        <v>66</v>
      </c>
      <c r="L173" s="92" t="s">
        <v>67</v>
      </c>
      <c r="M173" s="90" t="s">
        <v>57</v>
      </c>
      <c r="N173" s="92" t="s">
        <v>5</v>
      </c>
      <c r="O173" s="92" t="s">
        <v>89</v>
      </c>
      <c r="P173" s="87"/>
      <c r="Q173" s="87" t="s">
        <v>113</v>
      </c>
      <c r="R173" s="93" t="s">
        <v>114</v>
      </c>
      <c r="S173" s="87"/>
      <c r="T173" s="87"/>
      <c r="U173" s="94" t="str">
        <f t="array" ref="U173">IFERROR(INDEX(DFD!$D$2:$D$1048791,MATCH($Q173,DFD!$B$2:$B$1048791,0)),"")</f>
        <v/>
      </c>
      <c r="V173" s="94" t="str">
        <f t="array" ref="V173">IFERROR(INDEX(DFD!$F$2:$F$1048791,MATCH($Q173,DFD!$B$2:$B$1048791,0)),"")</f>
        <v/>
      </c>
      <c r="W173" s="97" t="str">
        <f t="array" ref="W173">IFERROR(INDEX(DFD!$E$2:$E$1048791,MATCH($Q173,DFD!$B$2:$B$1048791,0)),"")</f>
        <v/>
      </c>
      <c r="X173" s="97" t="str">
        <f t="array" ref="X173">IFERROR(INDEX(DFD!$K$2:$K$1048791,MATCH($Q173,DFD!$B$2:$B$1048791,0)),"")</f>
        <v/>
      </c>
      <c r="Y173" s="97" t="str">
        <f t="array" ref="Y173">IFERROR(INDEX(DFD!$L$2:$L$1048790,MATCH($Q173,DFD!$B$2:$B$1048790,0)),"")</f>
        <v/>
      </c>
      <c r="Z173" s="97">
        <f t="shared" si="10"/>
        <v>45</v>
      </c>
      <c r="AA173" s="87"/>
      <c r="AB173" s="87" t="s">
        <v>78</v>
      </c>
      <c r="AC173" s="87"/>
      <c r="AD173" s="99">
        <v>46043.0</v>
      </c>
      <c r="AE173" s="100">
        <f t="shared" si="8"/>
        <v>1</v>
      </c>
    </row>
    <row r="174" ht="15.75" customHeight="1">
      <c r="A174" s="67" t="s">
        <v>744</v>
      </c>
      <c r="B174" s="59" t="s">
        <v>184</v>
      </c>
      <c r="C174" s="60" t="s">
        <v>745</v>
      </c>
      <c r="D174" s="60" t="s">
        <v>51</v>
      </c>
      <c r="E174" s="81">
        <v>10.0</v>
      </c>
      <c r="F174" s="101">
        <v>470.0</v>
      </c>
      <c r="G174" s="73" t="s">
        <v>53</v>
      </c>
      <c r="H174" s="74">
        <v>46266.0</v>
      </c>
      <c r="I174" s="67" t="s">
        <v>17</v>
      </c>
      <c r="J174" s="67" t="s">
        <v>54</v>
      </c>
      <c r="K174" s="67" t="s">
        <v>372</v>
      </c>
      <c r="L174" s="67" t="s">
        <v>67</v>
      </c>
      <c r="M174" s="73" t="s">
        <v>104</v>
      </c>
      <c r="N174" s="67" t="s">
        <v>20</v>
      </c>
      <c r="O174" s="59" t="s">
        <v>69</v>
      </c>
      <c r="P174" s="59"/>
      <c r="Q174" s="59" t="s">
        <v>113</v>
      </c>
      <c r="R174" s="76" t="s">
        <v>114</v>
      </c>
      <c r="S174" s="59"/>
      <c r="T174" s="59"/>
      <c r="U174" s="77" t="str">
        <f t="array" ref="U174">IFERROR(INDEX(DFD!$D$2:$D$1048791,MATCH($Q174,DFD!$B$2:$B$1048791,0)),"")</f>
        <v/>
      </c>
      <c r="V174" s="77" t="str">
        <f t="array" ref="V174">IFERROR(INDEX(DFD!$F$2:$F$1048791,MATCH($Q174,DFD!$B$2:$B$1048791,0)),"")</f>
        <v/>
      </c>
      <c r="W174" s="84" t="str">
        <f t="array" ref="W174">IFERROR(INDEX(DFD!$E$2:$E$1048791,MATCH($Q174,DFD!$B$2:$B$1048791,0)),"")</f>
        <v/>
      </c>
      <c r="X174" s="84" t="str">
        <f t="array" ref="X174">IFERROR(INDEX(DFD!$K$2:$K$1048791,MATCH($Q174,DFD!$B$2:$B$1048791,0)),"")</f>
        <v/>
      </c>
      <c r="Y174" s="84" t="str">
        <f t="array" ref="Y174">IFERROR(INDEX(DFD!$L$2:$L$1048790,MATCH($Q174,DFD!$B$2:$B$1048790,0)),"")</f>
        <v/>
      </c>
      <c r="Z174" s="84">
        <f t="shared" si="10"/>
        <v>45</v>
      </c>
      <c r="AA174" s="59" t="s">
        <v>746</v>
      </c>
      <c r="AB174" s="59" t="s">
        <v>78</v>
      </c>
      <c r="AC174" s="59"/>
      <c r="AD174" s="85">
        <v>46043.0</v>
      </c>
      <c r="AE174" s="86">
        <f t="shared" si="8"/>
        <v>1</v>
      </c>
    </row>
    <row r="175" ht="15.75" customHeight="1">
      <c r="A175" s="92" t="s">
        <v>747</v>
      </c>
      <c r="B175" s="87" t="s">
        <v>184</v>
      </c>
      <c r="C175" s="88" t="s">
        <v>748</v>
      </c>
      <c r="D175" s="88" t="s">
        <v>749</v>
      </c>
      <c r="E175" s="88">
        <v>200.0</v>
      </c>
      <c r="F175" s="89">
        <v>800.0</v>
      </c>
      <c r="G175" s="90" t="s">
        <v>53</v>
      </c>
      <c r="H175" s="91">
        <v>46174.0</v>
      </c>
      <c r="I175" s="92" t="s">
        <v>17</v>
      </c>
      <c r="J175" s="92" t="s">
        <v>54</v>
      </c>
      <c r="K175" s="92" t="s">
        <v>66</v>
      </c>
      <c r="L175" s="92" t="s">
        <v>67</v>
      </c>
      <c r="M175" s="90" t="s">
        <v>117</v>
      </c>
      <c r="N175" s="92" t="s">
        <v>20</v>
      </c>
      <c r="O175" s="87" t="s">
        <v>69</v>
      </c>
      <c r="P175" s="87"/>
      <c r="Q175" s="87" t="s">
        <v>113</v>
      </c>
      <c r="R175" s="93" t="s">
        <v>616</v>
      </c>
      <c r="S175" s="87"/>
      <c r="T175" s="87"/>
      <c r="U175" s="94" t="str">
        <f t="array" ref="U175">IFERROR(INDEX(DFD!$D$2:$D$1048791,MATCH($Q175,DFD!$B$2:$B$1048791,0)),"")</f>
        <v/>
      </c>
      <c r="V175" s="94" t="str">
        <f t="array" ref="V175">IFERROR(INDEX(DFD!$F$2:$F$1048791,MATCH($Q175,DFD!$B$2:$B$1048791,0)),"")</f>
        <v/>
      </c>
      <c r="W175" s="97" t="str">
        <f t="array" ref="W175">IFERROR(INDEX(DFD!$E$2:$E$1048791,MATCH($Q175,DFD!$B$2:$B$1048791,0)),"")</f>
        <v/>
      </c>
      <c r="X175" s="97" t="str">
        <f t="array" ref="X175">IFERROR(INDEX(DFD!$K$2:$K$1048791,MATCH($Q175,DFD!$B$2:$B$1048791,0)),"")</f>
        <v/>
      </c>
      <c r="Y175" s="97" t="str">
        <f t="array" ref="Y175">IFERROR(INDEX(DFD!$L$2:$L$1048790,MATCH($Q175,DFD!$B$2:$B$1048790,0)),"")</f>
        <v/>
      </c>
      <c r="Z175" s="97">
        <f t="shared" si="10"/>
        <v>45</v>
      </c>
      <c r="AA175" s="87"/>
      <c r="AB175" s="87" t="s">
        <v>78</v>
      </c>
      <c r="AC175" s="87"/>
      <c r="AD175" s="99">
        <v>46043.0</v>
      </c>
      <c r="AE175" s="100">
        <f t="shared" si="8"/>
        <v>1</v>
      </c>
    </row>
    <row r="176" ht="15.75" customHeight="1">
      <c r="A176" s="67" t="s">
        <v>750</v>
      </c>
      <c r="B176" s="59" t="s">
        <v>155</v>
      </c>
      <c r="C176" s="60" t="s">
        <v>751</v>
      </c>
      <c r="D176" s="60" t="s">
        <v>51</v>
      </c>
      <c r="E176" s="60">
        <v>2.0</v>
      </c>
      <c r="F176" s="72">
        <v>400.0</v>
      </c>
      <c r="G176" s="73" t="s">
        <v>53</v>
      </c>
      <c r="H176" s="74">
        <v>46174.0</v>
      </c>
      <c r="I176" s="67" t="s">
        <v>17</v>
      </c>
      <c r="J176" s="67" t="s">
        <v>54</v>
      </c>
      <c r="K176" s="67" t="s">
        <v>66</v>
      </c>
      <c r="L176" s="67" t="s">
        <v>56</v>
      </c>
      <c r="M176" s="73" t="s">
        <v>104</v>
      </c>
      <c r="N176" s="67" t="s">
        <v>58</v>
      </c>
      <c r="O176" s="67" t="s">
        <v>89</v>
      </c>
      <c r="P176" s="59"/>
      <c r="Q176" s="59" t="s">
        <v>752</v>
      </c>
      <c r="R176" s="76" t="s">
        <v>753</v>
      </c>
      <c r="S176" s="59"/>
      <c r="T176" s="59"/>
      <c r="U176" s="77" t="str">
        <f t="array" ref="U176">IFERROR(INDEX(DFD!$D$2:$D$1048791,MATCH($Q176,DFD!$B$2:$B$1048791,0)),"")</f>
        <v/>
      </c>
      <c r="V176" s="77" t="str">
        <f t="array" ref="V176">IFERROR(INDEX(DFD!$F$2:$F$1048791,MATCH($Q176,DFD!$B$2:$B$1048791,0)),"")</f>
        <v/>
      </c>
      <c r="W176" s="84" t="str">
        <f t="array" ref="W176">IFERROR(INDEX(DFD!$E$2:$E$1048791,MATCH($Q176,DFD!$B$2:$B$1048791,0)),"")</f>
        <v/>
      </c>
      <c r="X176" s="84" t="str">
        <f t="array" ref="X176">IFERROR(INDEX(DFD!$K$2:$K$1048791,MATCH($Q176,DFD!$B$2:$B$1048791,0)),"")</f>
        <v/>
      </c>
      <c r="Y176" s="84" t="str">
        <f t="array" ref="Y176">IFERROR(INDEX(DFD!$L$2:$L$1048790,MATCH($Q176,DFD!$B$2:$B$1048790,0)),"")</f>
        <v/>
      </c>
      <c r="Z176" s="84">
        <f t="shared" si="10"/>
        <v>45</v>
      </c>
      <c r="AA176" s="59"/>
      <c r="AB176" s="59" t="s">
        <v>78</v>
      </c>
      <c r="AC176" s="59"/>
      <c r="AD176" s="85">
        <v>46043.0</v>
      </c>
      <c r="AE176" s="86">
        <f t="shared" si="8"/>
        <v>1</v>
      </c>
    </row>
    <row r="177" ht="15.75" customHeight="1">
      <c r="A177" s="87" t="s">
        <v>754</v>
      </c>
      <c r="B177" s="87" t="s">
        <v>101</v>
      </c>
      <c r="C177" s="88" t="s">
        <v>755</v>
      </c>
      <c r="D177" s="88" t="s">
        <v>51</v>
      </c>
      <c r="E177" s="88">
        <v>10.0</v>
      </c>
      <c r="F177" s="89">
        <v>600.0</v>
      </c>
      <c r="G177" s="90" t="s">
        <v>53</v>
      </c>
      <c r="H177" s="91">
        <v>46174.0</v>
      </c>
      <c r="I177" s="92" t="s">
        <v>17</v>
      </c>
      <c r="J177" s="92" t="s">
        <v>54</v>
      </c>
      <c r="K177" s="92" t="s">
        <v>66</v>
      </c>
      <c r="L177" s="92" t="s">
        <v>56</v>
      </c>
      <c r="M177" s="90" t="s">
        <v>112</v>
      </c>
      <c r="N177" s="92" t="s">
        <v>58</v>
      </c>
      <c r="O177" s="87" t="s">
        <v>69</v>
      </c>
      <c r="P177" s="87"/>
      <c r="Q177" s="87" t="s">
        <v>756</v>
      </c>
      <c r="R177" s="93" t="s">
        <v>71</v>
      </c>
      <c r="S177" s="87"/>
      <c r="T177" s="87"/>
      <c r="U177" s="94" t="s">
        <v>668</v>
      </c>
      <c r="V177" s="94" t="str">
        <f t="array" ref="V177">IFERROR(INDEX(DFD!$F$2:$F$1048791,MATCH($Q177,DFD!$B$2:$B$1048791,0)),"")</f>
        <v/>
      </c>
      <c r="W177" s="97" t="str">
        <f t="array" ref="W177">IFERROR(INDEX(DFD!$E$2:$E$1048791,MATCH($Q177,DFD!$B$2:$B$1048791,0)),"")</f>
        <v/>
      </c>
      <c r="X177" s="97" t="str">
        <f t="array" ref="X177">IFERROR(INDEX(DFD!$K$2:$K$1048791,MATCH($Q177,DFD!$B$2:$B$1048791,0)),"")</f>
        <v/>
      </c>
      <c r="Y177" s="97" t="str">
        <f t="array" ref="Y177">IFERROR(INDEX(DFD!$L$2:$L$1048790,MATCH($Q177,DFD!$B$2:$B$1048790,0)),"")</f>
        <v/>
      </c>
      <c r="Z177" s="97">
        <f t="shared" si="10"/>
        <v>45</v>
      </c>
      <c r="AA177" s="87"/>
      <c r="AB177" s="87" t="s">
        <v>78</v>
      </c>
      <c r="AC177" s="87"/>
      <c r="AD177" s="99">
        <v>46043.0</v>
      </c>
      <c r="AE177" s="100">
        <f t="shared" si="8"/>
        <v>1</v>
      </c>
    </row>
    <row r="178" ht="15.75" customHeight="1">
      <c r="A178" s="67" t="s">
        <v>757</v>
      </c>
      <c r="B178" s="59" t="s">
        <v>155</v>
      </c>
      <c r="C178" s="60" t="s">
        <v>758</v>
      </c>
      <c r="D178" s="60" t="s">
        <v>51</v>
      </c>
      <c r="E178" s="60">
        <v>2.0</v>
      </c>
      <c r="F178" s="72">
        <v>800.0</v>
      </c>
      <c r="G178" s="73" t="s">
        <v>53</v>
      </c>
      <c r="H178" s="74">
        <v>46174.0</v>
      </c>
      <c r="I178" s="67" t="s">
        <v>17</v>
      </c>
      <c r="J178" s="67" t="s">
        <v>54</v>
      </c>
      <c r="K178" s="67" t="s">
        <v>66</v>
      </c>
      <c r="L178" s="67" t="s">
        <v>56</v>
      </c>
      <c r="M178" s="73" t="s">
        <v>112</v>
      </c>
      <c r="N178" s="67" t="s">
        <v>20</v>
      </c>
      <c r="O178" s="59" t="s">
        <v>69</v>
      </c>
      <c r="P178" s="59"/>
      <c r="Q178" s="59" t="s">
        <v>759</v>
      </c>
      <c r="R178" s="76" t="s">
        <v>323</v>
      </c>
      <c r="S178" s="59"/>
      <c r="T178" s="59"/>
      <c r="U178" s="77" t="str">
        <f t="array" ref="U178">IFERROR(INDEX(DFD!$D$2:$D$1048791,MATCH($Q178,DFD!$B$2:$B$1048791,0)),"")</f>
        <v/>
      </c>
      <c r="V178" s="77" t="str">
        <f t="array" ref="V178">IFERROR(INDEX(DFD!$F$2:$F$1048791,MATCH($Q178,DFD!$B$2:$B$1048791,0)),"")</f>
        <v/>
      </c>
      <c r="W178" s="84" t="str">
        <f t="array" ref="W178">IFERROR(INDEX(DFD!$E$2:$E$1048791,MATCH($Q178,DFD!$B$2:$B$1048791,0)),"")</f>
        <v/>
      </c>
      <c r="X178" s="84" t="str">
        <f t="array" ref="X178">IFERROR(INDEX(DFD!$K$2:$K$1048791,MATCH($Q178,DFD!$B$2:$B$1048791,0)),"")</f>
        <v/>
      </c>
      <c r="Y178" s="84" t="str">
        <f t="array" ref="Y178">IFERROR(INDEX(DFD!$L$2:$L$1048790,MATCH($Q178,DFD!$B$2:$B$1048790,0)),"")</f>
        <v/>
      </c>
      <c r="Z178" s="84">
        <f t="shared" si="10"/>
        <v>45</v>
      </c>
      <c r="AA178" s="59"/>
      <c r="AB178" s="59" t="s">
        <v>78</v>
      </c>
      <c r="AC178" s="59"/>
      <c r="AD178" s="85">
        <v>46043.0</v>
      </c>
      <c r="AE178" s="86">
        <f t="shared" si="8"/>
        <v>1</v>
      </c>
    </row>
    <row r="179" ht="15.75" customHeight="1">
      <c r="A179" s="92" t="s">
        <v>761</v>
      </c>
      <c r="B179" s="87" t="s">
        <v>184</v>
      </c>
      <c r="C179" s="88" t="s">
        <v>762</v>
      </c>
      <c r="D179" s="88" t="s">
        <v>51</v>
      </c>
      <c r="E179" s="88">
        <v>6.0</v>
      </c>
      <c r="F179" s="89">
        <v>240.0</v>
      </c>
      <c r="G179" s="90" t="s">
        <v>53</v>
      </c>
      <c r="H179" s="91">
        <v>46031.0</v>
      </c>
      <c r="I179" s="92" t="s">
        <v>17</v>
      </c>
      <c r="J179" s="92" t="s">
        <v>54</v>
      </c>
      <c r="K179" s="92" t="s">
        <v>372</v>
      </c>
      <c r="L179" s="92" t="s">
        <v>67</v>
      </c>
      <c r="M179" s="90" t="s">
        <v>104</v>
      </c>
      <c r="N179" s="92" t="s">
        <v>20</v>
      </c>
      <c r="O179" s="92" t="s">
        <v>89</v>
      </c>
      <c r="P179" s="87"/>
      <c r="Q179" s="87" t="s">
        <v>113</v>
      </c>
      <c r="R179" s="93" t="s">
        <v>718</v>
      </c>
      <c r="S179" s="129"/>
      <c r="T179" s="87"/>
      <c r="U179" s="94" t="str">
        <f t="array" ref="U179">IFERROR(INDEX(DFD!$D$2:$D$1048791,MATCH($Q179,DFD!$B$2:$B$1048791,0)),"")</f>
        <v/>
      </c>
      <c r="V179" s="94" t="str">
        <f t="array" ref="V179">IFERROR(INDEX(DFD!$F$2:$F$1048791,MATCH($Q179,DFD!$B$2:$B$1048791,0)),"")</f>
        <v/>
      </c>
      <c r="W179" s="97" t="str">
        <f t="array" ref="W179">IFERROR(INDEX(DFD!$E$2:$E$1048791,MATCH($Q179,DFD!$B$2:$B$1048791,0)),"")</f>
        <v/>
      </c>
      <c r="X179" s="97" t="str">
        <f t="array" ref="X179">IFERROR(INDEX(DFD!$K$2:$K$1048791,MATCH($Q179,DFD!$B$2:$B$1048791,0)),"")</f>
        <v/>
      </c>
      <c r="Y179" s="97" t="str">
        <f t="array" ref="Y179">IFERROR(INDEX(DFD!$L$2:$L$1048790,MATCH($Q179,DFD!$B$2:$B$1048790,0)),"")</f>
        <v/>
      </c>
      <c r="Z179" s="97">
        <f t="shared" si="10"/>
        <v>45</v>
      </c>
      <c r="AA179" s="87" t="s">
        <v>746</v>
      </c>
      <c r="AB179" s="87" t="s">
        <v>78</v>
      </c>
      <c r="AC179" s="87"/>
      <c r="AD179" s="99">
        <v>46043.0</v>
      </c>
      <c r="AE179" s="100">
        <f t="shared" si="8"/>
        <v>1</v>
      </c>
    </row>
    <row r="180" ht="15.75" customHeight="1">
      <c r="A180" s="67" t="s">
        <v>764</v>
      </c>
      <c r="B180" s="59" t="s">
        <v>80</v>
      </c>
      <c r="C180" s="60" t="s">
        <v>669</v>
      </c>
      <c r="D180" s="60" t="s">
        <v>51</v>
      </c>
      <c r="E180" s="60">
        <v>5.0</v>
      </c>
      <c r="F180" s="72">
        <v>240.0</v>
      </c>
      <c r="G180" s="73" t="s">
        <v>53</v>
      </c>
      <c r="H180" s="74">
        <v>46143.0</v>
      </c>
      <c r="I180" s="67" t="s">
        <v>17</v>
      </c>
      <c r="J180" s="67" t="s">
        <v>54</v>
      </c>
      <c r="K180" s="67" t="s">
        <v>66</v>
      </c>
      <c r="L180" s="67" t="s">
        <v>56</v>
      </c>
      <c r="M180" s="73" t="s">
        <v>117</v>
      </c>
      <c r="N180" s="67" t="s">
        <v>20</v>
      </c>
      <c r="O180" s="59" t="s">
        <v>69</v>
      </c>
      <c r="P180" s="59"/>
      <c r="Q180" s="59" t="s">
        <v>113</v>
      </c>
      <c r="R180" s="76" t="s">
        <v>718</v>
      </c>
      <c r="S180" s="59"/>
      <c r="T180" s="59"/>
      <c r="U180" s="77" t="str">
        <f t="array" ref="U180">IFERROR(INDEX(DFD!$D$2:$D$1048791,MATCH($Q180,DFD!$B$2:$B$1048791,0)),"")</f>
        <v/>
      </c>
      <c r="V180" s="77" t="str">
        <f t="array" ref="V180">IFERROR(INDEX(DFD!$F$2:$F$1048791,MATCH($Q180,DFD!$B$2:$B$1048791,0)),"")</f>
        <v/>
      </c>
      <c r="W180" s="84" t="str">
        <f t="array" ref="W180">IFERROR(INDEX(DFD!$E$2:$E$1048791,MATCH($Q180,DFD!$B$2:$B$1048791,0)),"")</f>
        <v/>
      </c>
      <c r="X180" s="84" t="str">
        <f t="array" ref="X180">IFERROR(INDEX(DFD!$K$2:$K$1048791,MATCH($Q180,DFD!$B$2:$B$1048791,0)),"")</f>
        <v/>
      </c>
      <c r="Y180" s="84" t="str">
        <f t="array" ref="Y180">IFERROR(INDEX(DFD!$L$2:$L$1048790,MATCH($Q180,DFD!$B$2:$B$1048790,0)),"")</f>
        <v/>
      </c>
      <c r="Z180" s="84">
        <f t="shared" si="10"/>
        <v>45</v>
      </c>
      <c r="AA180" s="59"/>
      <c r="AB180" s="59" t="s">
        <v>78</v>
      </c>
      <c r="AC180" s="59"/>
      <c r="AD180" s="85">
        <v>46043.0</v>
      </c>
      <c r="AE180" s="86">
        <f t="shared" si="8"/>
        <v>1</v>
      </c>
    </row>
    <row r="181" ht="15.75" customHeight="1">
      <c r="A181" s="92" t="s">
        <v>766</v>
      </c>
      <c r="B181" s="87" t="s">
        <v>123</v>
      </c>
      <c r="C181" s="88" t="s">
        <v>669</v>
      </c>
      <c r="D181" s="88" t="s">
        <v>51</v>
      </c>
      <c r="E181" s="88">
        <v>5.0</v>
      </c>
      <c r="F181" s="89">
        <v>240.0</v>
      </c>
      <c r="G181" s="90" t="s">
        <v>53</v>
      </c>
      <c r="H181" s="91">
        <v>46143.0</v>
      </c>
      <c r="I181" s="92" t="s">
        <v>17</v>
      </c>
      <c r="J181" s="92" t="s">
        <v>54</v>
      </c>
      <c r="K181" s="92" t="s">
        <v>66</v>
      </c>
      <c r="L181" s="92" t="s">
        <v>56</v>
      </c>
      <c r="M181" s="90" t="s">
        <v>117</v>
      </c>
      <c r="N181" s="92" t="s">
        <v>20</v>
      </c>
      <c r="O181" s="87" t="s">
        <v>69</v>
      </c>
      <c r="P181" s="87"/>
      <c r="Q181" s="87" t="s">
        <v>113</v>
      </c>
      <c r="R181" s="93" t="s">
        <v>718</v>
      </c>
      <c r="S181" s="87"/>
      <c r="T181" s="87"/>
      <c r="U181" s="94" t="str">
        <f t="array" ref="U181">IFERROR(INDEX(DFD!$D$2:$D$1048791,MATCH($Q181,DFD!$B$2:$B$1048791,0)),"")</f>
        <v/>
      </c>
      <c r="V181" s="94" t="str">
        <f t="array" ref="V181">IFERROR(INDEX(DFD!$F$2:$F$1048791,MATCH($Q181,DFD!$B$2:$B$1048791,0)),"")</f>
        <v/>
      </c>
      <c r="W181" s="97" t="str">
        <f t="array" ref="W181">IFERROR(INDEX(DFD!$E$2:$E$1048791,MATCH($Q181,DFD!$B$2:$B$1048791,0)),"")</f>
        <v/>
      </c>
      <c r="X181" s="97" t="str">
        <f t="array" ref="X181">IFERROR(INDEX(DFD!$K$2:$K$1048791,MATCH($Q181,DFD!$B$2:$B$1048791,0)),"")</f>
        <v/>
      </c>
      <c r="Y181" s="97" t="str">
        <f t="array" ref="Y181">IFERROR(INDEX(DFD!$L$2:$L$1048790,MATCH($Q181,DFD!$B$2:$B$1048790,0)),"")</f>
        <v/>
      </c>
      <c r="Z181" s="97">
        <f t="shared" si="10"/>
        <v>45</v>
      </c>
      <c r="AA181" s="87"/>
      <c r="AB181" s="87" t="s">
        <v>78</v>
      </c>
      <c r="AC181" s="87"/>
      <c r="AD181" s="99">
        <v>46043.0</v>
      </c>
      <c r="AE181" s="100">
        <f t="shared" si="8"/>
        <v>1</v>
      </c>
    </row>
    <row r="182" ht="15.75" customHeight="1">
      <c r="A182" s="67" t="s">
        <v>767</v>
      </c>
      <c r="B182" s="59" t="s">
        <v>92</v>
      </c>
      <c r="C182" s="60" t="s">
        <v>669</v>
      </c>
      <c r="D182" s="60" t="s">
        <v>51</v>
      </c>
      <c r="E182" s="60">
        <v>5.0</v>
      </c>
      <c r="F182" s="72">
        <v>240.0</v>
      </c>
      <c r="G182" s="73" t="s">
        <v>53</v>
      </c>
      <c r="H182" s="74">
        <v>46143.0</v>
      </c>
      <c r="I182" s="67" t="s">
        <v>17</v>
      </c>
      <c r="J182" s="67" t="s">
        <v>54</v>
      </c>
      <c r="K182" s="67" t="s">
        <v>66</v>
      </c>
      <c r="L182" s="67" t="s">
        <v>56</v>
      </c>
      <c r="M182" s="73" t="s">
        <v>117</v>
      </c>
      <c r="N182" s="67" t="s">
        <v>20</v>
      </c>
      <c r="O182" s="67" t="s">
        <v>89</v>
      </c>
      <c r="P182" s="59"/>
      <c r="Q182" s="59" t="s">
        <v>113</v>
      </c>
      <c r="R182" s="76" t="s">
        <v>718</v>
      </c>
      <c r="S182" s="59"/>
      <c r="T182" s="59"/>
      <c r="U182" s="77" t="str">
        <f t="array" ref="U182">IFERROR(INDEX(DFD!$D$2:$D$1048791,MATCH($Q182,DFD!$B$2:$B$1048791,0)),"")</f>
        <v/>
      </c>
      <c r="V182" s="77" t="str">
        <f t="array" ref="V182">IFERROR(INDEX(DFD!$F$2:$F$1048791,MATCH($Q182,DFD!$B$2:$B$1048791,0)),"")</f>
        <v/>
      </c>
      <c r="W182" s="84" t="str">
        <f t="array" ref="W182">IFERROR(INDEX(DFD!$E$2:$E$1048791,MATCH($Q182,DFD!$B$2:$B$1048791,0)),"")</f>
        <v/>
      </c>
      <c r="X182" s="84" t="str">
        <f t="array" ref="X182">IFERROR(INDEX(DFD!$K$2:$K$1048791,MATCH($Q182,DFD!$B$2:$B$1048791,0)),"")</f>
        <v/>
      </c>
      <c r="Y182" s="84" t="str">
        <f t="array" ref="Y182">IFERROR(INDEX(DFD!$L$2:$L$1048790,MATCH($Q182,DFD!$B$2:$B$1048790,0)),"")</f>
        <v/>
      </c>
      <c r="Z182" s="84">
        <f t="shared" si="10"/>
        <v>45</v>
      </c>
      <c r="AA182" s="59"/>
      <c r="AB182" s="59" t="s">
        <v>78</v>
      </c>
      <c r="AC182" s="59"/>
      <c r="AD182" s="85">
        <v>46043.0</v>
      </c>
      <c r="AE182" s="86">
        <f t="shared" si="8"/>
        <v>1</v>
      </c>
    </row>
    <row r="183" ht="15.75" customHeight="1">
      <c r="A183" s="87" t="s">
        <v>769</v>
      </c>
      <c r="B183" s="87" t="s">
        <v>148</v>
      </c>
      <c r="C183" s="88" t="s">
        <v>770</v>
      </c>
      <c r="D183" s="88" t="s">
        <v>51</v>
      </c>
      <c r="E183" s="88">
        <v>2.0</v>
      </c>
      <c r="F183" s="89">
        <v>1060.2</v>
      </c>
      <c r="G183" s="90" t="s">
        <v>53</v>
      </c>
      <c r="H183" s="91">
        <v>46174.0</v>
      </c>
      <c r="I183" s="92" t="s">
        <v>17</v>
      </c>
      <c r="J183" s="92" t="s">
        <v>54</v>
      </c>
      <c r="K183" s="92" t="s">
        <v>721</v>
      </c>
      <c r="L183" s="92" t="s">
        <v>67</v>
      </c>
      <c r="M183" s="90" t="s">
        <v>104</v>
      </c>
      <c r="N183" s="92" t="s">
        <v>5</v>
      </c>
      <c r="O183" s="87" t="s">
        <v>69</v>
      </c>
      <c r="P183" s="87"/>
      <c r="Q183" s="87" t="s">
        <v>715</v>
      </c>
      <c r="R183" s="93" t="s">
        <v>269</v>
      </c>
      <c r="S183" s="87"/>
      <c r="T183" s="87"/>
      <c r="U183" s="94" t="str">
        <f t="array" ref="U183">IFERROR(INDEX(DFD!$D$2:$D$1048791,MATCH($Q183,DFD!$B$2:$B$1048791,0)),"")</f>
        <v/>
      </c>
      <c r="V183" s="94" t="str">
        <f t="array" ref="V183">IFERROR(INDEX(DFD!$F$2:$F$1048791,MATCH($Q183,DFD!$B$2:$B$1048791,0)),"")</f>
        <v/>
      </c>
      <c r="W183" s="97" t="str">
        <f t="array" ref="W183">IFERROR(INDEX(DFD!$E$2:$E$1048791,MATCH($Q183,DFD!$B$2:$B$1048791,0)),"")</f>
        <v/>
      </c>
      <c r="X183" s="97" t="str">
        <f t="array" ref="X183">IFERROR(INDEX(DFD!$K$2:$K$1048791,MATCH($Q183,DFD!$B$2:$B$1048791,0)),"")</f>
        <v/>
      </c>
      <c r="Y183" s="97" t="str">
        <f t="array" ref="Y183">IFERROR(INDEX(DFD!$L$2:$L$1048790,MATCH($Q183,DFD!$B$2:$B$1048790,0)),"")</f>
        <v/>
      </c>
      <c r="Z183" s="97">
        <f t="shared" si="10"/>
        <v>45</v>
      </c>
      <c r="AA183" s="87"/>
      <c r="AB183" s="87" t="s">
        <v>78</v>
      </c>
      <c r="AC183" s="87"/>
      <c r="AD183" s="99">
        <v>46043.0</v>
      </c>
      <c r="AE183" s="100">
        <f t="shared" si="8"/>
        <v>1</v>
      </c>
    </row>
    <row r="184" ht="15.75" customHeight="1">
      <c r="A184" s="59" t="s">
        <v>771</v>
      </c>
      <c r="B184" s="59" t="s">
        <v>136</v>
      </c>
      <c r="C184" s="60" t="s">
        <v>772</v>
      </c>
      <c r="D184" s="60" t="s">
        <v>773</v>
      </c>
      <c r="E184" s="60">
        <v>150.0</v>
      </c>
      <c r="F184" s="72">
        <v>6000.0</v>
      </c>
      <c r="G184" s="73" t="s">
        <v>53</v>
      </c>
      <c r="H184" s="74">
        <v>46204.0</v>
      </c>
      <c r="I184" s="67" t="s">
        <v>17</v>
      </c>
      <c r="J184" s="67" t="s">
        <v>54</v>
      </c>
      <c r="K184" s="67" t="s">
        <v>66</v>
      </c>
      <c r="L184" s="67" t="s">
        <v>67</v>
      </c>
      <c r="M184" s="73" t="s">
        <v>104</v>
      </c>
      <c r="N184" s="67" t="s">
        <v>5</v>
      </c>
      <c r="O184" s="59" t="s">
        <v>69</v>
      </c>
      <c r="P184" s="59"/>
      <c r="Q184" s="59" t="s">
        <v>139</v>
      </c>
      <c r="R184" s="76" t="s">
        <v>140</v>
      </c>
      <c r="S184" s="59"/>
      <c r="T184" s="59"/>
      <c r="U184" s="77" t="str">
        <f t="array" ref="U184">IFERROR(INDEX(DFD!$D$2:$D$1048791,MATCH($Q184,DFD!$B$2:$B$1048791,0)),"")</f>
        <v/>
      </c>
      <c r="V184" s="77" t="str">
        <f t="array" ref="V184">IFERROR(INDEX(DFD!$F$2:$F$1048791,MATCH($Q184,DFD!$B$2:$B$1048791,0)),"")</f>
        <v/>
      </c>
      <c r="W184" s="84" t="str">
        <f t="array" ref="W184">IFERROR(INDEX(DFD!$E$2:$E$1048791,MATCH($Q184,DFD!$B$2:$B$1048791,0)),"")</f>
        <v/>
      </c>
      <c r="X184" s="84" t="str">
        <f t="array" ref="X184">IFERROR(INDEX(DFD!$K$2:$K$1048791,MATCH($Q184,DFD!$B$2:$B$1048791,0)),"")</f>
        <v/>
      </c>
      <c r="Y184" s="84" t="str">
        <f t="array" ref="Y184">IFERROR(INDEX(DFD!$L$2:$L$1048790,MATCH($Q184,DFD!$B$2:$B$1048790,0)),"")</f>
        <v/>
      </c>
      <c r="Z184" s="84">
        <f t="shared" si="10"/>
        <v>45</v>
      </c>
      <c r="AA184" s="59"/>
      <c r="AB184" s="59" t="s">
        <v>78</v>
      </c>
      <c r="AC184" s="59"/>
      <c r="AD184" s="85">
        <v>46043.0</v>
      </c>
      <c r="AE184" s="86">
        <f t="shared" si="8"/>
        <v>1</v>
      </c>
    </row>
    <row r="185" ht="15.75" customHeight="1">
      <c r="A185" s="87" t="s">
        <v>774</v>
      </c>
      <c r="B185" s="87" t="s">
        <v>52</v>
      </c>
      <c r="C185" s="88" t="s">
        <v>772</v>
      </c>
      <c r="D185" s="88" t="s">
        <v>51</v>
      </c>
      <c r="E185" s="88">
        <v>50.0</v>
      </c>
      <c r="F185" s="89">
        <v>2000.0</v>
      </c>
      <c r="G185" s="90" t="s">
        <v>53</v>
      </c>
      <c r="H185" s="91">
        <v>46174.0</v>
      </c>
      <c r="I185" s="92" t="s">
        <v>17</v>
      </c>
      <c r="J185" s="92" t="s">
        <v>54</v>
      </c>
      <c r="K185" s="92" t="s">
        <v>66</v>
      </c>
      <c r="L185" s="92" t="s">
        <v>56</v>
      </c>
      <c r="M185" s="90" t="s">
        <v>132</v>
      </c>
      <c r="N185" s="92" t="s">
        <v>58</v>
      </c>
      <c r="O185" s="92" t="s">
        <v>89</v>
      </c>
      <c r="P185" s="87"/>
      <c r="Q185" s="87" t="s">
        <v>52</v>
      </c>
      <c r="R185" s="93" t="s">
        <v>140</v>
      </c>
      <c r="S185" s="87"/>
      <c r="T185" s="87"/>
      <c r="U185" s="94" t="str">
        <f t="array" ref="U185">IFERROR(INDEX(DFD!$D$2:$D$1048791,MATCH($Q185,DFD!$B$2:$B$1048791,0)),"")</f>
        <v/>
      </c>
      <c r="V185" s="94" t="str">
        <f t="array" ref="V185">IFERROR(INDEX(DFD!$F$2:$F$1048791,MATCH($Q185,DFD!$B$2:$B$1048791,0)),"")</f>
        <v/>
      </c>
      <c r="W185" s="97" t="str">
        <f t="array" ref="W185">IFERROR(INDEX(DFD!$E$2:$E$1048791,MATCH($Q185,DFD!$B$2:$B$1048791,0)),"")</f>
        <v/>
      </c>
      <c r="X185" s="97" t="str">
        <f t="array" ref="X185">IFERROR(INDEX(DFD!$K$2:$K$1048791,MATCH($Q185,DFD!$B$2:$B$1048791,0)),"")</f>
        <v/>
      </c>
      <c r="Y185" s="97" t="str">
        <f t="array" ref="Y185">IFERROR(INDEX(DFD!$L$2:$L$1048790,MATCH($Q185,DFD!$B$2:$B$1048790,0)),"")</f>
        <v/>
      </c>
      <c r="Z185" s="97">
        <f t="shared" si="10"/>
        <v>45</v>
      </c>
      <c r="AA185" s="87"/>
      <c r="AB185" s="87" t="s">
        <v>72</v>
      </c>
      <c r="AC185" s="87"/>
      <c r="AD185" s="99">
        <v>46043.0</v>
      </c>
      <c r="AE185" s="100">
        <f t="shared" si="8"/>
        <v>1</v>
      </c>
    </row>
    <row r="186" ht="15.75" customHeight="1">
      <c r="A186" s="67" t="s">
        <v>775</v>
      </c>
      <c r="B186" s="59" t="s">
        <v>184</v>
      </c>
      <c r="C186" s="60" t="s">
        <v>776</v>
      </c>
      <c r="D186" s="60" t="s">
        <v>51</v>
      </c>
      <c r="E186" s="60">
        <v>30.0</v>
      </c>
      <c r="F186" s="72">
        <v>202.5</v>
      </c>
      <c r="G186" s="73" t="s">
        <v>53</v>
      </c>
      <c r="H186" s="74">
        <v>46143.0</v>
      </c>
      <c r="I186" s="67" t="s">
        <v>17</v>
      </c>
      <c r="J186" s="67" t="s">
        <v>54</v>
      </c>
      <c r="K186" s="67" t="s">
        <v>66</v>
      </c>
      <c r="L186" s="67" t="s">
        <v>67</v>
      </c>
      <c r="M186" s="73" t="s">
        <v>112</v>
      </c>
      <c r="N186" s="67" t="s">
        <v>20</v>
      </c>
      <c r="O186" s="59" t="s">
        <v>69</v>
      </c>
      <c r="P186" s="59"/>
      <c r="Q186" s="59" t="s">
        <v>286</v>
      </c>
      <c r="R186" s="76" t="s">
        <v>287</v>
      </c>
      <c r="S186" s="59"/>
      <c r="T186" s="59"/>
      <c r="U186" s="77" t="str">
        <f t="array" ref="U186">IFERROR(INDEX(DFD!$D$2:$D$1048791,MATCH($Q186,DFD!$B$2:$B$1048791,0)),"")</f>
        <v/>
      </c>
      <c r="V186" s="77" t="str">
        <f t="array" ref="V186">IFERROR(INDEX(DFD!$F$2:$F$1048791,MATCH($Q186,DFD!$B$2:$B$1048791,0)),"")</f>
        <v/>
      </c>
      <c r="W186" s="84" t="str">
        <f t="array" ref="W186">IFERROR(INDEX(DFD!$E$2:$E$1048791,MATCH($Q186,DFD!$B$2:$B$1048791,0)),"")</f>
        <v/>
      </c>
      <c r="X186" s="84" t="str">
        <f t="array" ref="X186">IFERROR(INDEX(DFD!$K$2:$K$1048791,MATCH($Q186,DFD!$B$2:$B$1048791,0)),"")</f>
        <v/>
      </c>
      <c r="Y186" s="84" t="str">
        <f t="array" ref="Y186">IFERROR(INDEX(DFD!$L$2:$L$1048790,MATCH($Q186,DFD!$B$2:$B$1048790,0)),"")</f>
        <v/>
      </c>
      <c r="Z186" s="84">
        <f t="shared" si="10"/>
        <v>45</v>
      </c>
      <c r="AA186" s="59"/>
      <c r="AB186" s="59" t="s">
        <v>288</v>
      </c>
      <c r="AC186" s="59"/>
      <c r="AD186" s="85">
        <v>46043.0</v>
      </c>
      <c r="AE186" s="86">
        <f t="shared" si="8"/>
        <v>1</v>
      </c>
    </row>
    <row r="187" ht="15.75" customHeight="1">
      <c r="A187" s="87" t="s">
        <v>777</v>
      </c>
      <c r="B187" s="87" t="s">
        <v>400</v>
      </c>
      <c r="C187" s="88" t="s">
        <v>778</v>
      </c>
      <c r="D187" s="88" t="s">
        <v>51</v>
      </c>
      <c r="E187" s="88">
        <v>10.0</v>
      </c>
      <c r="F187" s="89">
        <v>12000.0</v>
      </c>
      <c r="G187" s="90" t="s">
        <v>53</v>
      </c>
      <c r="H187" s="91">
        <v>46235.0</v>
      </c>
      <c r="I187" s="92" t="s">
        <v>17</v>
      </c>
      <c r="J187" s="92" t="s">
        <v>54</v>
      </c>
      <c r="K187" s="92" t="s">
        <v>66</v>
      </c>
      <c r="L187" s="92" t="s">
        <v>56</v>
      </c>
      <c r="M187" s="90" t="s">
        <v>112</v>
      </c>
      <c r="N187" s="92" t="s">
        <v>58</v>
      </c>
      <c r="O187" s="87" t="s">
        <v>69</v>
      </c>
      <c r="P187" s="87"/>
      <c r="Q187" s="87" t="s">
        <v>752</v>
      </c>
      <c r="R187" s="93" t="s">
        <v>753</v>
      </c>
      <c r="S187" s="87"/>
      <c r="T187" s="87"/>
      <c r="U187" s="94" t="str">
        <f t="array" ref="U187">IFERROR(INDEX(DFD!$D$2:$D$1048791,MATCH($Q187,DFD!$B$2:$B$1048791,0)),"")</f>
        <v/>
      </c>
      <c r="V187" s="94" t="str">
        <f t="array" ref="V187">IFERROR(INDEX(DFD!$F$2:$F$1048791,MATCH($Q187,DFD!$B$2:$B$1048791,0)),"")</f>
        <v/>
      </c>
      <c r="W187" s="97" t="str">
        <f t="array" ref="W187">IFERROR(INDEX(DFD!$E$2:$E$1048791,MATCH($Q187,DFD!$B$2:$B$1048791,0)),"")</f>
        <v/>
      </c>
      <c r="X187" s="97" t="str">
        <f t="array" ref="X187">IFERROR(INDEX(DFD!$K$2:$K$1048791,MATCH($Q187,DFD!$B$2:$B$1048791,0)),"")</f>
        <v/>
      </c>
      <c r="Y187" s="97" t="str">
        <f t="array" ref="Y187">IFERROR(INDEX(DFD!$L$2:$L$1048790,MATCH($Q187,DFD!$B$2:$B$1048790,0)),"")</f>
        <v/>
      </c>
      <c r="Z187" s="97">
        <f t="shared" si="10"/>
        <v>45</v>
      </c>
      <c r="AA187" s="87"/>
      <c r="AB187" s="87" t="s">
        <v>78</v>
      </c>
      <c r="AC187" s="87"/>
      <c r="AD187" s="99">
        <v>46043.0</v>
      </c>
      <c r="AE187" s="100">
        <f t="shared" si="8"/>
        <v>1</v>
      </c>
    </row>
    <row r="188" ht="15.75" customHeight="1">
      <c r="A188" s="67" t="s">
        <v>779</v>
      </c>
      <c r="B188" s="71" t="s">
        <v>81</v>
      </c>
      <c r="C188" s="60" t="s">
        <v>650</v>
      </c>
      <c r="D188" s="60" t="s">
        <v>51</v>
      </c>
      <c r="E188" s="60">
        <v>3.0</v>
      </c>
      <c r="F188" s="72">
        <v>5400.0</v>
      </c>
      <c r="G188" s="73" t="s">
        <v>53</v>
      </c>
      <c r="H188" s="74">
        <v>46204.0</v>
      </c>
      <c r="I188" s="67" t="s">
        <v>17</v>
      </c>
      <c r="J188" s="67" t="s">
        <v>54</v>
      </c>
      <c r="K188" s="67" t="s">
        <v>66</v>
      </c>
      <c r="L188" s="67" t="s">
        <v>56</v>
      </c>
      <c r="M188" s="73" t="s">
        <v>104</v>
      </c>
      <c r="N188" s="67" t="s">
        <v>20</v>
      </c>
      <c r="O188" s="67" t="s">
        <v>89</v>
      </c>
      <c r="P188" s="59"/>
      <c r="Q188" s="59" t="s">
        <v>780</v>
      </c>
      <c r="R188" s="76" t="s">
        <v>181</v>
      </c>
      <c r="S188" s="59"/>
      <c r="T188" s="59"/>
      <c r="U188" s="77" t="str">
        <f t="array" ref="U188">IFERROR(INDEX(DFD!$D$2:$D$1048791,MATCH($Q188,DFD!$B$2:$B$1048791,0)),"")</f>
        <v/>
      </c>
      <c r="V188" s="77" t="s">
        <v>280</v>
      </c>
      <c r="W188" s="84" t="str">
        <f t="array" ref="W188">IFERROR(INDEX(DFD!$E$2:$E$1048791,MATCH($Q188,DFD!$B$2:$B$1048791,0)),"")</f>
        <v/>
      </c>
      <c r="X188" s="84" t="str">
        <f t="array" ref="X188">IFERROR(INDEX(DFD!$K$2:$K$1048791,MATCH($Q188,DFD!$B$2:$B$1048791,0)),"")</f>
        <v/>
      </c>
      <c r="Y188" s="84" t="str">
        <f t="array" ref="Y188">IFERROR(INDEX(DFD!$L$2:$L$1048790,MATCH($Q188,DFD!$B$2:$B$1048790,0)),"")</f>
        <v/>
      </c>
      <c r="Z188" s="84">
        <f t="shared" si="10"/>
        <v>45</v>
      </c>
      <c r="AA188" s="59"/>
      <c r="AB188" s="59" t="s">
        <v>78</v>
      </c>
      <c r="AC188" s="59"/>
      <c r="AD188" s="85">
        <v>46043.0</v>
      </c>
      <c r="AE188" s="86">
        <f t="shared" si="8"/>
        <v>1</v>
      </c>
    </row>
    <row r="189" ht="15.75" customHeight="1">
      <c r="A189" s="87" t="s">
        <v>782</v>
      </c>
      <c r="B189" s="87" t="s">
        <v>171</v>
      </c>
      <c r="C189" s="88" t="s">
        <v>650</v>
      </c>
      <c r="D189" s="88" t="s">
        <v>51</v>
      </c>
      <c r="E189" s="88">
        <v>3.0</v>
      </c>
      <c r="F189" s="89">
        <v>5400.0</v>
      </c>
      <c r="G189" s="90" t="s">
        <v>53</v>
      </c>
      <c r="H189" s="91">
        <v>46204.0</v>
      </c>
      <c r="I189" s="92" t="s">
        <v>17</v>
      </c>
      <c r="J189" s="92" t="s">
        <v>54</v>
      </c>
      <c r="K189" s="92" t="s">
        <v>66</v>
      </c>
      <c r="L189" s="92" t="s">
        <v>67</v>
      </c>
      <c r="M189" s="90" t="s">
        <v>167</v>
      </c>
      <c r="N189" s="92" t="s">
        <v>5</v>
      </c>
      <c r="O189" s="87" t="s">
        <v>69</v>
      </c>
      <c r="P189" s="87"/>
      <c r="Q189" s="87" t="s">
        <v>780</v>
      </c>
      <c r="R189" s="93" t="s">
        <v>181</v>
      </c>
      <c r="S189" s="87"/>
      <c r="T189" s="87"/>
      <c r="U189" s="94" t="str">
        <f t="array" ref="U189">IFERROR(INDEX(DFD!$D$2:$D$1048791,MATCH($Q189,DFD!$B$2:$B$1048791,0)),"")</f>
        <v/>
      </c>
      <c r="V189" s="94" t="s">
        <v>280</v>
      </c>
      <c r="W189" s="97" t="str">
        <f t="array" ref="W189">IFERROR(INDEX(DFD!$E$2:$E$1048791,MATCH($Q189,DFD!$B$2:$B$1048791,0)),"")</f>
        <v/>
      </c>
      <c r="X189" s="97" t="str">
        <f t="array" ref="X189">IFERROR(INDEX(DFD!$K$2:$K$1048791,MATCH($Q189,DFD!$B$2:$B$1048791,0)),"")</f>
        <v/>
      </c>
      <c r="Y189" s="97" t="str">
        <f t="array" ref="Y189">IFERROR(INDEX(DFD!$L$2:$L$1048790,MATCH($Q189,DFD!$B$2:$B$1048790,0)),"")</f>
        <v/>
      </c>
      <c r="Z189" s="97">
        <f t="shared" si="10"/>
        <v>45</v>
      </c>
      <c r="AA189" s="87"/>
      <c r="AB189" s="87" t="s">
        <v>78</v>
      </c>
      <c r="AC189" s="87"/>
      <c r="AD189" s="99">
        <v>46043.0</v>
      </c>
      <c r="AE189" s="100">
        <f t="shared" si="8"/>
        <v>1</v>
      </c>
    </row>
    <row r="190" ht="15.75" customHeight="1">
      <c r="A190" s="67" t="s">
        <v>783</v>
      </c>
      <c r="B190" s="59" t="s">
        <v>386</v>
      </c>
      <c r="C190" s="60" t="s">
        <v>650</v>
      </c>
      <c r="D190" s="60" t="s">
        <v>51</v>
      </c>
      <c r="E190" s="60">
        <v>2.0</v>
      </c>
      <c r="F190" s="72">
        <v>3600.0</v>
      </c>
      <c r="G190" s="73" t="s">
        <v>53</v>
      </c>
      <c r="H190" s="74">
        <v>46174.0</v>
      </c>
      <c r="I190" s="67" t="s">
        <v>17</v>
      </c>
      <c r="J190" s="67" t="s">
        <v>54</v>
      </c>
      <c r="K190" s="67" t="s">
        <v>66</v>
      </c>
      <c r="L190" s="67" t="s">
        <v>56</v>
      </c>
      <c r="M190" s="73" t="s">
        <v>104</v>
      </c>
      <c r="N190" s="67" t="s">
        <v>20</v>
      </c>
      <c r="O190" s="59" t="s">
        <v>69</v>
      </c>
      <c r="P190" s="59"/>
      <c r="Q190" s="59" t="s">
        <v>780</v>
      </c>
      <c r="R190" s="76" t="s">
        <v>181</v>
      </c>
      <c r="S190" s="59"/>
      <c r="T190" s="59"/>
      <c r="U190" s="77" t="str">
        <f t="array" ref="U190">IFERROR(INDEX(DFD!$D$2:$D$1048791,MATCH($Q190,DFD!$B$2:$B$1048791,0)),"")</f>
        <v/>
      </c>
      <c r="V190" s="77" t="s">
        <v>280</v>
      </c>
      <c r="W190" s="84" t="str">
        <f t="array" ref="W190">IFERROR(INDEX(DFD!$E$2:$E$1048791,MATCH($Q190,DFD!$B$2:$B$1048791,0)),"")</f>
        <v/>
      </c>
      <c r="X190" s="84" t="str">
        <f t="array" ref="X190">IFERROR(INDEX(DFD!$K$2:$K$1048791,MATCH($Q190,DFD!$B$2:$B$1048791,0)),"")</f>
        <v/>
      </c>
      <c r="Y190" s="84" t="str">
        <f t="array" ref="Y190">IFERROR(INDEX(DFD!$L$2:$L$1048790,MATCH($Q190,DFD!$B$2:$B$1048790,0)),"")</f>
        <v/>
      </c>
      <c r="Z190" s="84">
        <f t="shared" si="10"/>
        <v>45</v>
      </c>
      <c r="AA190" s="59"/>
      <c r="AB190" s="59" t="s">
        <v>78</v>
      </c>
      <c r="AC190" s="59"/>
      <c r="AD190" s="85">
        <v>46043.0</v>
      </c>
      <c r="AE190" s="86">
        <f t="shared" si="8"/>
        <v>1</v>
      </c>
    </row>
    <row r="191" ht="15.75" customHeight="1">
      <c r="A191" s="87" t="s">
        <v>784</v>
      </c>
      <c r="B191" s="87" t="s">
        <v>80</v>
      </c>
      <c r="C191" s="88" t="s">
        <v>650</v>
      </c>
      <c r="D191" s="88" t="s">
        <v>51</v>
      </c>
      <c r="E191" s="88">
        <v>2.0</v>
      </c>
      <c r="F191" s="89">
        <v>3600.0</v>
      </c>
      <c r="G191" s="90" t="s">
        <v>53</v>
      </c>
      <c r="H191" s="91">
        <v>46174.0</v>
      </c>
      <c r="I191" s="92" t="s">
        <v>17</v>
      </c>
      <c r="J191" s="92" t="s">
        <v>54</v>
      </c>
      <c r="K191" s="92" t="s">
        <v>66</v>
      </c>
      <c r="L191" s="92" t="s">
        <v>67</v>
      </c>
      <c r="M191" s="90" t="s">
        <v>167</v>
      </c>
      <c r="N191" s="92" t="s">
        <v>5</v>
      </c>
      <c r="O191" s="92" t="s">
        <v>89</v>
      </c>
      <c r="P191" s="87"/>
      <c r="Q191" s="87" t="s">
        <v>780</v>
      </c>
      <c r="R191" s="93" t="s">
        <v>181</v>
      </c>
      <c r="S191" s="87"/>
      <c r="T191" s="87"/>
      <c r="U191" s="94" t="str">
        <f t="array" ref="U191">IFERROR(INDEX(DFD!$D$2:$D$1048791,MATCH($Q191,DFD!$B$2:$B$1048791,0)),"")</f>
        <v/>
      </c>
      <c r="V191" s="94" t="s">
        <v>280</v>
      </c>
      <c r="W191" s="97" t="str">
        <f t="array" ref="W191">IFERROR(INDEX(DFD!$E$2:$E$1048791,MATCH($Q191,DFD!$B$2:$B$1048791,0)),"")</f>
        <v/>
      </c>
      <c r="X191" s="97" t="str">
        <f t="array" ref="X191">IFERROR(INDEX(DFD!$K$2:$K$1048791,MATCH($Q191,DFD!$B$2:$B$1048791,0)),"")</f>
        <v/>
      </c>
      <c r="Y191" s="97" t="str">
        <f t="array" ref="Y191">IFERROR(INDEX(DFD!$L$2:$L$1048790,MATCH($Q191,DFD!$B$2:$B$1048790,0)),"")</f>
        <v/>
      </c>
      <c r="Z191" s="97">
        <f t="shared" si="10"/>
        <v>45</v>
      </c>
      <c r="AA191" s="87"/>
      <c r="AB191" s="87" t="s">
        <v>78</v>
      </c>
      <c r="AC191" s="87"/>
      <c r="AD191" s="99">
        <v>46043.0</v>
      </c>
      <c r="AE191" s="100">
        <f t="shared" si="8"/>
        <v>1</v>
      </c>
    </row>
    <row r="192" ht="15.75" customHeight="1">
      <c r="A192" s="59" t="s">
        <v>786</v>
      </c>
      <c r="B192" s="59" t="s">
        <v>92</v>
      </c>
      <c r="C192" s="60" t="s">
        <v>650</v>
      </c>
      <c r="D192" s="60" t="s">
        <v>51</v>
      </c>
      <c r="E192" s="60">
        <v>2.0</v>
      </c>
      <c r="F192" s="72">
        <v>3600.0</v>
      </c>
      <c r="G192" s="73" t="s">
        <v>53</v>
      </c>
      <c r="H192" s="74">
        <v>46174.0</v>
      </c>
      <c r="I192" s="67" t="s">
        <v>17</v>
      </c>
      <c r="J192" s="67" t="s">
        <v>54</v>
      </c>
      <c r="K192" s="67" t="s">
        <v>66</v>
      </c>
      <c r="L192" s="67" t="s">
        <v>67</v>
      </c>
      <c r="M192" s="73" t="s">
        <v>167</v>
      </c>
      <c r="N192" s="67" t="s">
        <v>5</v>
      </c>
      <c r="O192" s="59" t="s">
        <v>69</v>
      </c>
      <c r="P192" s="59"/>
      <c r="Q192" s="59" t="s">
        <v>780</v>
      </c>
      <c r="R192" s="76" t="s">
        <v>181</v>
      </c>
      <c r="S192" s="59"/>
      <c r="T192" s="59"/>
      <c r="U192" s="77" t="str">
        <f t="array" ref="U192">IFERROR(INDEX(DFD!$D$2:$D$1048791,MATCH($Q192,DFD!$B$2:$B$1048791,0)),"")</f>
        <v/>
      </c>
      <c r="V192" s="77" t="s">
        <v>280</v>
      </c>
      <c r="W192" s="84" t="str">
        <f t="array" ref="W192">IFERROR(INDEX(DFD!$E$2:$E$1048791,MATCH($Q192,DFD!$B$2:$B$1048791,0)),"")</f>
        <v/>
      </c>
      <c r="X192" s="84" t="str">
        <f t="array" ref="X192">IFERROR(INDEX(DFD!$K$2:$K$1048791,MATCH($Q192,DFD!$B$2:$B$1048791,0)),"")</f>
        <v/>
      </c>
      <c r="Y192" s="84" t="str">
        <f t="array" ref="Y192">IFERROR(INDEX(DFD!$L$2:$L$1048790,MATCH($Q192,DFD!$B$2:$B$1048790,0)),"")</f>
        <v/>
      </c>
      <c r="Z192" s="84">
        <f t="shared" si="10"/>
        <v>45</v>
      </c>
      <c r="AA192" s="59"/>
      <c r="AB192" s="59" t="s">
        <v>78</v>
      </c>
      <c r="AC192" s="59"/>
      <c r="AD192" s="85">
        <v>46043.0</v>
      </c>
      <c r="AE192" s="86">
        <f t="shared" si="8"/>
        <v>1</v>
      </c>
    </row>
    <row r="193" ht="15.75" customHeight="1">
      <c r="A193" s="87" t="s">
        <v>788</v>
      </c>
      <c r="B193" s="87" t="s">
        <v>95</v>
      </c>
      <c r="C193" s="88" t="s">
        <v>650</v>
      </c>
      <c r="D193" s="88" t="s">
        <v>51</v>
      </c>
      <c r="E193" s="88">
        <v>2.0</v>
      </c>
      <c r="F193" s="89">
        <v>3600.0</v>
      </c>
      <c r="G193" s="90" t="s">
        <v>53</v>
      </c>
      <c r="H193" s="91">
        <v>46174.0</v>
      </c>
      <c r="I193" s="92" t="s">
        <v>17</v>
      </c>
      <c r="J193" s="92" t="s">
        <v>54</v>
      </c>
      <c r="K193" s="92" t="s">
        <v>66</v>
      </c>
      <c r="L193" s="92" t="s">
        <v>67</v>
      </c>
      <c r="M193" s="90" t="s">
        <v>167</v>
      </c>
      <c r="N193" s="92" t="s">
        <v>5</v>
      </c>
      <c r="O193" s="87" t="s">
        <v>69</v>
      </c>
      <c r="P193" s="87"/>
      <c r="Q193" s="87" t="s">
        <v>780</v>
      </c>
      <c r="R193" s="93" t="s">
        <v>181</v>
      </c>
      <c r="S193" s="87"/>
      <c r="T193" s="87"/>
      <c r="U193" s="94" t="str">
        <f t="array" ref="U193">IFERROR(INDEX(DFD!$D$2:$D$1048791,MATCH($Q193,DFD!$B$2:$B$1048791,0)),"")</f>
        <v/>
      </c>
      <c r="V193" s="94" t="s">
        <v>280</v>
      </c>
      <c r="W193" s="97" t="str">
        <f t="array" ref="W193">IFERROR(INDEX(DFD!$E$2:$E$1048791,MATCH($Q193,DFD!$B$2:$B$1048791,0)),"")</f>
        <v/>
      </c>
      <c r="X193" s="97" t="str">
        <f t="array" ref="X193">IFERROR(INDEX(DFD!$K$2:$K$1048791,MATCH($Q193,DFD!$B$2:$B$1048791,0)),"")</f>
        <v/>
      </c>
      <c r="Y193" s="97" t="str">
        <f t="array" ref="Y193">IFERROR(INDEX(DFD!$L$2:$L$1048790,MATCH($Q193,DFD!$B$2:$B$1048790,0)),"")</f>
        <v/>
      </c>
      <c r="Z193" s="97">
        <f t="shared" si="10"/>
        <v>45</v>
      </c>
      <c r="AA193" s="87"/>
      <c r="AB193" s="87" t="s">
        <v>78</v>
      </c>
      <c r="AC193" s="87"/>
      <c r="AD193" s="99">
        <v>46043.0</v>
      </c>
      <c r="AE193" s="100">
        <f t="shared" si="8"/>
        <v>1</v>
      </c>
    </row>
    <row r="194" ht="15.75" customHeight="1">
      <c r="A194" s="59" t="s">
        <v>790</v>
      </c>
      <c r="B194" s="59" t="s">
        <v>94</v>
      </c>
      <c r="C194" s="60" t="s">
        <v>650</v>
      </c>
      <c r="D194" s="60" t="s">
        <v>51</v>
      </c>
      <c r="E194" s="60">
        <v>2.0</v>
      </c>
      <c r="F194" s="72">
        <v>3600.0</v>
      </c>
      <c r="G194" s="73" t="s">
        <v>53</v>
      </c>
      <c r="H194" s="74">
        <v>46174.0</v>
      </c>
      <c r="I194" s="67" t="s">
        <v>17</v>
      </c>
      <c r="J194" s="67" t="s">
        <v>54</v>
      </c>
      <c r="K194" s="67" t="s">
        <v>66</v>
      </c>
      <c r="L194" s="67" t="s">
        <v>67</v>
      </c>
      <c r="M194" s="73" t="s">
        <v>167</v>
      </c>
      <c r="N194" s="67" t="s">
        <v>5</v>
      </c>
      <c r="O194" s="67" t="s">
        <v>89</v>
      </c>
      <c r="P194" s="59"/>
      <c r="Q194" s="59" t="s">
        <v>780</v>
      </c>
      <c r="R194" s="76" t="s">
        <v>181</v>
      </c>
      <c r="S194" s="59"/>
      <c r="T194" s="59"/>
      <c r="U194" s="77" t="str">
        <f t="array" ref="U194">IFERROR(INDEX(DFD!$D$2:$D$1048791,MATCH($Q194,DFD!$B$2:$B$1048791,0)),"")</f>
        <v/>
      </c>
      <c r="V194" s="77" t="s">
        <v>280</v>
      </c>
      <c r="W194" s="84" t="str">
        <f t="array" ref="W194">IFERROR(INDEX(DFD!$E$2:$E$1048791,MATCH($Q194,DFD!$B$2:$B$1048791,0)),"")</f>
        <v/>
      </c>
      <c r="X194" s="84" t="str">
        <f t="array" ref="X194">IFERROR(INDEX(DFD!$K$2:$K$1048791,MATCH($Q194,DFD!$B$2:$B$1048791,0)),"")</f>
        <v/>
      </c>
      <c r="Y194" s="84" t="str">
        <f t="array" ref="Y194">IFERROR(INDEX(DFD!$L$2:$L$1048790,MATCH($Q194,DFD!$B$2:$B$1048790,0)),"")</f>
        <v/>
      </c>
      <c r="Z194" s="84">
        <f t="shared" si="10"/>
        <v>45</v>
      </c>
      <c r="AA194" s="59"/>
      <c r="AB194" s="59" t="s">
        <v>78</v>
      </c>
      <c r="AC194" s="59"/>
      <c r="AD194" s="85">
        <v>46043.0</v>
      </c>
      <c r="AE194" s="86">
        <f t="shared" si="8"/>
        <v>1</v>
      </c>
    </row>
    <row r="195" ht="15.75" customHeight="1">
      <c r="A195" s="92" t="s">
        <v>792</v>
      </c>
      <c r="B195" s="87" t="s">
        <v>174</v>
      </c>
      <c r="C195" s="88" t="s">
        <v>650</v>
      </c>
      <c r="D195" s="88" t="s">
        <v>51</v>
      </c>
      <c r="E195" s="88">
        <v>1.0</v>
      </c>
      <c r="F195" s="89">
        <v>1800.0</v>
      </c>
      <c r="G195" s="90" t="s">
        <v>53</v>
      </c>
      <c r="H195" s="91">
        <v>46174.0</v>
      </c>
      <c r="I195" s="92" t="s">
        <v>17</v>
      </c>
      <c r="J195" s="92" t="s">
        <v>54</v>
      </c>
      <c r="K195" s="92" t="s">
        <v>66</v>
      </c>
      <c r="L195" s="92" t="s">
        <v>56</v>
      </c>
      <c r="M195" s="90" t="s">
        <v>104</v>
      </c>
      <c r="N195" s="92" t="s">
        <v>20</v>
      </c>
      <c r="O195" s="87" t="s">
        <v>69</v>
      </c>
      <c r="P195" s="87"/>
      <c r="Q195" s="87" t="s">
        <v>780</v>
      </c>
      <c r="R195" s="93" t="s">
        <v>181</v>
      </c>
      <c r="S195" s="87"/>
      <c r="T195" s="87"/>
      <c r="U195" s="94" t="str">
        <f t="array" ref="U195">IFERROR(INDEX(DFD!$D$2:$D$1048791,MATCH($Q195,DFD!$B$2:$B$1048791,0)),"")</f>
        <v/>
      </c>
      <c r="V195" s="94" t="s">
        <v>280</v>
      </c>
      <c r="W195" s="97" t="str">
        <f t="array" ref="W195">IFERROR(INDEX(DFD!$E$2:$E$1048791,MATCH($Q195,DFD!$B$2:$B$1048791,0)),"")</f>
        <v/>
      </c>
      <c r="X195" s="97" t="str">
        <f t="array" ref="X195">IFERROR(INDEX(DFD!$K$2:$K$1048791,MATCH($Q195,DFD!$B$2:$B$1048791,0)),"")</f>
        <v/>
      </c>
      <c r="Y195" s="97" t="str">
        <f t="array" ref="Y195">IFERROR(INDEX(DFD!$L$2:$L$1048790,MATCH($Q195,DFD!$B$2:$B$1048790,0)),"")</f>
        <v/>
      </c>
      <c r="Z195" s="97">
        <f t="shared" si="10"/>
        <v>45</v>
      </c>
      <c r="AA195" s="87"/>
      <c r="AB195" s="87" t="s">
        <v>78</v>
      </c>
      <c r="AC195" s="87"/>
      <c r="AD195" s="99">
        <v>46043.0</v>
      </c>
      <c r="AE195" s="100">
        <f t="shared" si="8"/>
        <v>1</v>
      </c>
    </row>
    <row r="196" ht="15.75" customHeight="1">
      <c r="A196" s="67" t="s">
        <v>793</v>
      </c>
      <c r="B196" s="59" t="s">
        <v>92</v>
      </c>
      <c r="C196" s="60" t="s">
        <v>794</v>
      </c>
      <c r="D196" s="60" t="s">
        <v>51</v>
      </c>
      <c r="E196" s="60">
        <v>1.0</v>
      </c>
      <c r="F196" s="72">
        <v>600.0</v>
      </c>
      <c r="G196" s="73" t="s">
        <v>53</v>
      </c>
      <c r="H196" s="74">
        <v>46174.0</v>
      </c>
      <c r="I196" s="67" t="s">
        <v>18</v>
      </c>
      <c r="J196" s="67" t="s">
        <v>54</v>
      </c>
      <c r="K196" s="67" t="s">
        <v>83</v>
      </c>
      <c r="L196" s="67" t="s">
        <v>56</v>
      </c>
      <c r="M196" s="73" t="s">
        <v>57</v>
      </c>
      <c r="N196" s="67" t="s">
        <v>20</v>
      </c>
      <c r="O196" s="59" t="s">
        <v>69</v>
      </c>
      <c r="P196" s="59"/>
      <c r="Q196" s="59" t="s">
        <v>759</v>
      </c>
      <c r="R196" s="76" t="s">
        <v>217</v>
      </c>
      <c r="S196" s="59"/>
      <c r="T196" s="59"/>
      <c r="U196" s="77" t="str">
        <f t="array" ref="U196">IFERROR(INDEX(DFD!$D$2:$D$1048791,MATCH($Q196,DFD!$B$2:$B$1048791,0)),"")</f>
        <v/>
      </c>
      <c r="V196" s="77" t="str">
        <f t="array" ref="V196">IFERROR(INDEX(DFD!$F$2:$F$1048791,MATCH($Q196,DFD!$B$2:$B$1048791,0)),"")</f>
        <v/>
      </c>
      <c r="W196" s="84" t="str">
        <f t="array" ref="W196">IFERROR(INDEX(DFD!$E$2:$E$1048791,MATCH($Q196,DFD!$B$2:$B$1048791,0)),"")</f>
        <v/>
      </c>
      <c r="X196" s="84" t="str">
        <f t="array" ref="X196">IFERROR(INDEX(DFD!$K$2:$K$1048791,MATCH($Q196,DFD!$B$2:$B$1048791,0)),"")</f>
        <v/>
      </c>
      <c r="Y196" s="84" t="str">
        <f t="array" ref="Y196">IFERROR(INDEX(DFD!$L$2:$L$1048790,MATCH($Q196,DFD!$B$2:$B$1048790,0)),"")</f>
        <v/>
      </c>
      <c r="Z196" s="84">
        <f t="shared" si="10"/>
        <v>45</v>
      </c>
      <c r="AA196" s="59"/>
      <c r="AB196" s="59" t="s">
        <v>78</v>
      </c>
      <c r="AC196" s="59"/>
      <c r="AD196" s="85">
        <v>46043.0</v>
      </c>
      <c r="AE196" s="86">
        <f t="shared" si="8"/>
        <v>1</v>
      </c>
    </row>
    <row r="197" ht="15.75" customHeight="1">
      <c r="A197" s="92" t="s">
        <v>797</v>
      </c>
      <c r="B197" s="87" t="s">
        <v>92</v>
      </c>
      <c r="C197" s="88" t="s">
        <v>798</v>
      </c>
      <c r="D197" s="88" t="s">
        <v>51</v>
      </c>
      <c r="E197" s="88">
        <v>11.0</v>
      </c>
      <c r="F197" s="89">
        <v>550.0</v>
      </c>
      <c r="G197" s="90" t="s">
        <v>53</v>
      </c>
      <c r="H197" s="91">
        <v>46174.0</v>
      </c>
      <c r="I197" s="92" t="s">
        <v>17</v>
      </c>
      <c r="J197" s="92" t="s">
        <v>54</v>
      </c>
      <c r="K197" s="92" t="s">
        <v>66</v>
      </c>
      <c r="L197" s="92" t="s">
        <v>56</v>
      </c>
      <c r="M197" s="90" t="s">
        <v>167</v>
      </c>
      <c r="N197" s="92" t="s">
        <v>20</v>
      </c>
      <c r="O197" s="92" t="s">
        <v>89</v>
      </c>
      <c r="P197" s="87"/>
      <c r="Q197" s="87" t="s">
        <v>800</v>
      </c>
      <c r="R197" s="93" t="s">
        <v>287</v>
      </c>
      <c r="S197" s="87"/>
      <c r="T197" s="87"/>
      <c r="U197" s="94" t="str">
        <f t="array" ref="U197">IFERROR(INDEX(DFD!$D$2:$D$1048791,MATCH($Q197,DFD!$B$2:$B$1048791,0)),"")</f>
        <v/>
      </c>
      <c r="V197" s="94" t="str">
        <f t="array" ref="V197">IFERROR(INDEX(DFD!$F$2:$F$1048791,MATCH($Q197,DFD!$B$2:$B$1048791,0)),"")</f>
        <v/>
      </c>
      <c r="W197" s="97" t="str">
        <f t="array" ref="W197">IFERROR(INDEX(DFD!$E$2:$E$1048791,MATCH($Q197,DFD!$B$2:$B$1048791,0)),"")</f>
        <v/>
      </c>
      <c r="X197" s="97" t="str">
        <f t="array" ref="X197">IFERROR(INDEX(DFD!$K$2:$K$1048791,MATCH($Q197,DFD!$B$2:$B$1048791,0)),"")</f>
        <v/>
      </c>
      <c r="Y197" s="97" t="str">
        <f t="array" ref="Y197">IFERROR(INDEX(DFD!$L$2:$L$1048790,MATCH($Q197,DFD!$B$2:$B$1048790,0)),"")</f>
        <v/>
      </c>
      <c r="Z197" s="97">
        <f t="shared" si="10"/>
        <v>45</v>
      </c>
      <c r="AA197" s="87"/>
      <c r="AB197" s="87" t="s">
        <v>78</v>
      </c>
      <c r="AC197" s="87"/>
      <c r="AD197" s="99">
        <v>46043.0</v>
      </c>
      <c r="AE197" s="100">
        <f t="shared" si="8"/>
        <v>1</v>
      </c>
    </row>
    <row r="198" ht="15.75" customHeight="1">
      <c r="A198" s="59" t="s">
        <v>802</v>
      </c>
      <c r="B198" s="59" t="s">
        <v>148</v>
      </c>
      <c r="C198" s="60" t="s">
        <v>798</v>
      </c>
      <c r="D198" s="60" t="s">
        <v>51</v>
      </c>
      <c r="E198" s="60">
        <v>8.0</v>
      </c>
      <c r="F198" s="72">
        <v>400.0</v>
      </c>
      <c r="G198" s="73" t="s">
        <v>53</v>
      </c>
      <c r="H198" s="74">
        <v>46174.0</v>
      </c>
      <c r="I198" s="67" t="s">
        <v>17</v>
      </c>
      <c r="J198" s="67" t="s">
        <v>54</v>
      </c>
      <c r="K198" s="67" t="s">
        <v>66</v>
      </c>
      <c r="L198" s="67" t="s">
        <v>56</v>
      </c>
      <c r="M198" s="73" t="s">
        <v>57</v>
      </c>
      <c r="N198" s="67" t="s">
        <v>5</v>
      </c>
      <c r="O198" s="59" t="s">
        <v>69</v>
      </c>
      <c r="P198" s="59"/>
      <c r="Q198" s="59" t="s">
        <v>800</v>
      </c>
      <c r="R198" s="76" t="s">
        <v>287</v>
      </c>
      <c r="S198" s="59"/>
      <c r="T198" s="59"/>
      <c r="U198" s="77" t="str">
        <f t="array" ref="U198">IFERROR(INDEX(DFD!$D$2:$D$1048791,MATCH($Q198,DFD!$B$2:$B$1048791,0)),"")</f>
        <v/>
      </c>
      <c r="V198" s="77" t="str">
        <f t="array" ref="V198">IFERROR(INDEX(DFD!$F$2:$F$1048791,MATCH($Q198,DFD!$B$2:$B$1048791,0)),"")</f>
        <v/>
      </c>
      <c r="W198" s="84" t="str">
        <f t="array" ref="W198">IFERROR(INDEX(DFD!$E$2:$E$1048791,MATCH($Q198,DFD!$B$2:$B$1048791,0)),"")</f>
        <v/>
      </c>
      <c r="X198" s="84" t="str">
        <f t="array" ref="X198">IFERROR(INDEX(DFD!$K$2:$K$1048791,MATCH($Q198,DFD!$B$2:$B$1048791,0)),"")</f>
        <v/>
      </c>
      <c r="Y198" s="84" t="str">
        <f t="array" ref="Y198">IFERROR(INDEX(DFD!$L$2:$L$1048790,MATCH($Q198,DFD!$B$2:$B$1048790,0)),"")</f>
        <v/>
      </c>
      <c r="Z198" s="84">
        <f t="shared" si="10"/>
        <v>45</v>
      </c>
      <c r="AA198" s="59"/>
      <c r="AB198" s="59" t="s">
        <v>78</v>
      </c>
      <c r="AC198" s="59"/>
      <c r="AD198" s="85">
        <v>46043.0</v>
      </c>
      <c r="AE198" s="86">
        <f t="shared" si="8"/>
        <v>1</v>
      </c>
    </row>
    <row r="199" ht="15.75" customHeight="1">
      <c r="A199" s="92" t="s">
        <v>803</v>
      </c>
      <c r="B199" s="87" t="s">
        <v>386</v>
      </c>
      <c r="C199" s="88" t="s">
        <v>798</v>
      </c>
      <c r="D199" s="88" t="s">
        <v>51</v>
      </c>
      <c r="E199" s="88">
        <v>4.0</v>
      </c>
      <c r="F199" s="89">
        <v>400.0</v>
      </c>
      <c r="G199" s="90" t="s">
        <v>53</v>
      </c>
      <c r="H199" s="91">
        <v>46174.0</v>
      </c>
      <c r="I199" s="92" t="s">
        <v>17</v>
      </c>
      <c r="J199" s="92" t="s">
        <v>54</v>
      </c>
      <c r="K199" s="92" t="s">
        <v>66</v>
      </c>
      <c r="L199" s="92" t="s">
        <v>56</v>
      </c>
      <c r="M199" s="90" t="s">
        <v>112</v>
      </c>
      <c r="N199" s="92" t="s">
        <v>20</v>
      </c>
      <c r="O199" s="87" t="s">
        <v>69</v>
      </c>
      <c r="P199" s="87"/>
      <c r="Q199" s="87" t="s">
        <v>800</v>
      </c>
      <c r="R199" s="93" t="s">
        <v>287</v>
      </c>
      <c r="S199" s="87"/>
      <c r="T199" s="87"/>
      <c r="U199" s="94" t="str">
        <f t="array" ref="U199">IFERROR(INDEX(DFD!$D$2:$D$1048791,MATCH($Q199,DFD!$B$2:$B$1048791,0)),"")</f>
        <v/>
      </c>
      <c r="V199" s="94" t="str">
        <f t="array" ref="V199">IFERROR(INDEX(DFD!$F$2:$F$1048791,MATCH($Q199,DFD!$B$2:$B$1048791,0)),"")</f>
        <v/>
      </c>
      <c r="W199" s="97" t="str">
        <f t="array" ref="W199">IFERROR(INDEX(DFD!$E$2:$E$1048791,MATCH($Q199,DFD!$B$2:$B$1048791,0)),"")</f>
        <v/>
      </c>
      <c r="X199" s="97" t="str">
        <f t="array" ref="X199">IFERROR(INDEX(DFD!$K$2:$K$1048791,MATCH($Q199,DFD!$B$2:$B$1048791,0)),"")</f>
        <v/>
      </c>
      <c r="Y199" s="97" t="str">
        <f t="array" ref="Y199">IFERROR(INDEX(DFD!$L$2:$L$1048790,MATCH($Q199,DFD!$B$2:$B$1048790,0)),"")</f>
        <v/>
      </c>
      <c r="Z199" s="97">
        <f t="shared" si="10"/>
        <v>45</v>
      </c>
      <c r="AA199" s="87"/>
      <c r="AB199" s="87" t="s">
        <v>78</v>
      </c>
      <c r="AC199" s="87"/>
      <c r="AD199" s="99">
        <v>46043.0</v>
      </c>
      <c r="AE199" s="100">
        <f t="shared" si="8"/>
        <v>1</v>
      </c>
    </row>
    <row r="200" ht="15.75" customHeight="1">
      <c r="A200" s="67" t="s">
        <v>804</v>
      </c>
      <c r="B200" s="59" t="s">
        <v>81</v>
      </c>
      <c r="C200" s="60" t="s">
        <v>805</v>
      </c>
      <c r="D200" s="60" t="s">
        <v>51</v>
      </c>
      <c r="E200" s="60">
        <v>10.0</v>
      </c>
      <c r="F200" s="72">
        <v>3000.0</v>
      </c>
      <c r="G200" s="73" t="s">
        <v>53</v>
      </c>
      <c r="H200" s="74">
        <v>46204.0</v>
      </c>
      <c r="I200" s="67" t="s">
        <v>17</v>
      </c>
      <c r="J200" s="67" t="s">
        <v>54</v>
      </c>
      <c r="K200" s="67" t="s">
        <v>66</v>
      </c>
      <c r="L200" s="67" t="s">
        <v>56</v>
      </c>
      <c r="M200" s="73" t="s">
        <v>167</v>
      </c>
      <c r="N200" s="67" t="s">
        <v>20</v>
      </c>
      <c r="O200" s="67" t="s">
        <v>89</v>
      </c>
      <c r="P200" s="59"/>
      <c r="Q200" s="59" t="s">
        <v>800</v>
      </c>
      <c r="R200" s="76" t="s">
        <v>287</v>
      </c>
      <c r="S200" s="59"/>
      <c r="T200" s="59"/>
      <c r="U200" s="77" t="str">
        <f t="array" ref="U200">IFERROR(INDEX(DFD!$D$2:$D$1048791,MATCH($Q200,DFD!$B$2:$B$1048791,0)),"")</f>
        <v/>
      </c>
      <c r="V200" s="77" t="str">
        <f t="array" ref="V200">IFERROR(INDEX(DFD!$F$2:$F$1048791,MATCH($Q200,DFD!$B$2:$B$1048791,0)),"")</f>
        <v/>
      </c>
      <c r="W200" s="84" t="str">
        <f t="array" ref="W200">IFERROR(INDEX(DFD!$E$2:$E$1048791,MATCH($Q200,DFD!$B$2:$B$1048791,0)),"")</f>
        <v/>
      </c>
      <c r="X200" s="84" t="str">
        <f t="array" ref="X200">IFERROR(INDEX(DFD!$K$2:$K$1048791,MATCH($Q200,DFD!$B$2:$B$1048791,0)),"")</f>
        <v/>
      </c>
      <c r="Y200" s="84" t="str">
        <f t="array" ref="Y200">IFERROR(INDEX(DFD!$L$2:$L$1048790,MATCH($Q200,DFD!$B$2:$B$1048790,0)),"")</f>
        <v/>
      </c>
      <c r="Z200" s="84">
        <f t="shared" si="10"/>
        <v>45</v>
      </c>
      <c r="AA200" s="59"/>
      <c r="AB200" s="59" t="s">
        <v>78</v>
      </c>
      <c r="AC200" s="59"/>
      <c r="AD200" s="85">
        <v>46043.0</v>
      </c>
      <c r="AE200" s="86">
        <f t="shared" si="8"/>
        <v>1</v>
      </c>
    </row>
    <row r="201" ht="15.75" customHeight="1">
      <c r="A201" s="87" t="s">
        <v>806</v>
      </c>
      <c r="B201" s="87" t="s">
        <v>172</v>
      </c>
      <c r="C201" s="88" t="s">
        <v>807</v>
      </c>
      <c r="D201" s="88" t="s">
        <v>51</v>
      </c>
      <c r="E201" s="88">
        <v>2.0</v>
      </c>
      <c r="F201" s="89">
        <v>1140.0</v>
      </c>
      <c r="G201" s="90" t="s">
        <v>53</v>
      </c>
      <c r="H201" s="91">
        <v>46174.0</v>
      </c>
      <c r="I201" s="92" t="s">
        <v>17</v>
      </c>
      <c r="J201" s="92" t="s">
        <v>54</v>
      </c>
      <c r="K201" s="92" t="s">
        <v>66</v>
      </c>
      <c r="L201" s="92" t="s">
        <v>67</v>
      </c>
      <c r="M201" s="90" t="s">
        <v>117</v>
      </c>
      <c r="N201" s="92" t="s">
        <v>5</v>
      </c>
      <c r="O201" s="87" t="s">
        <v>69</v>
      </c>
      <c r="P201" s="87"/>
      <c r="Q201" s="87" t="s">
        <v>808</v>
      </c>
      <c r="R201" s="93" t="s">
        <v>373</v>
      </c>
      <c r="S201" s="87"/>
      <c r="T201" s="87"/>
      <c r="U201" s="94" t="str">
        <f t="array" ref="U201">IFERROR(INDEX(DFD!$D$2:$D$1048791,MATCH($Q201,DFD!$B$2:$B$1048791,0)),"")</f>
        <v/>
      </c>
      <c r="V201" s="94" t="str">
        <f t="array" ref="V201">IFERROR(INDEX(DFD!$F$2:$F$1048791,MATCH($Q201,DFD!$B$2:$B$1048791,0)),"")</f>
        <v/>
      </c>
      <c r="W201" s="97" t="str">
        <f t="array" ref="W201">IFERROR(INDEX(DFD!$E$2:$E$1048791,MATCH($Q201,DFD!$B$2:$B$1048791,0)),"")</f>
        <v/>
      </c>
      <c r="X201" s="97" t="str">
        <f t="array" ref="X201">IFERROR(INDEX(DFD!$K$2:$K$1048791,MATCH($Q201,DFD!$B$2:$B$1048791,0)),"")</f>
        <v/>
      </c>
      <c r="Y201" s="97" t="str">
        <f t="array" ref="Y201">IFERROR(INDEX(DFD!$L$2:$L$1048790,MATCH($Q201,DFD!$B$2:$B$1048790,0)),"")</f>
        <v/>
      </c>
      <c r="Z201" s="97">
        <f t="shared" si="10"/>
        <v>45</v>
      </c>
      <c r="AA201" s="87"/>
      <c r="AB201" s="87" t="s">
        <v>78</v>
      </c>
      <c r="AC201" s="87"/>
      <c r="AD201" s="99">
        <v>46043.0</v>
      </c>
      <c r="AE201" s="100">
        <f t="shared" si="8"/>
        <v>1</v>
      </c>
    </row>
    <row r="202" ht="15.75" customHeight="1">
      <c r="A202" s="59" t="s">
        <v>811</v>
      </c>
      <c r="B202" s="71" t="s">
        <v>92</v>
      </c>
      <c r="C202" s="60" t="s">
        <v>807</v>
      </c>
      <c r="D202" s="60" t="s">
        <v>51</v>
      </c>
      <c r="E202" s="60">
        <v>2.0</v>
      </c>
      <c r="F202" s="72">
        <v>1140.0</v>
      </c>
      <c r="G202" s="73" t="s">
        <v>53</v>
      </c>
      <c r="H202" s="74">
        <v>46174.0</v>
      </c>
      <c r="I202" s="67" t="s">
        <v>17</v>
      </c>
      <c r="J202" s="67" t="s">
        <v>54</v>
      </c>
      <c r="K202" s="67" t="s">
        <v>66</v>
      </c>
      <c r="L202" s="67" t="s">
        <v>67</v>
      </c>
      <c r="M202" s="73" t="s">
        <v>117</v>
      </c>
      <c r="N202" s="67" t="s">
        <v>5</v>
      </c>
      <c r="O202" s="59" t="s">
        <v>69</v>
      </c>
      <c r="P202" s="59"/>
      <c r="Q202" s="59" t="s">
        <v>808</v>
      </c>
      <c r="R202" s="76" t="s">
        <v>373</v>
      </c>
      <c r="S202" s="59"/>
      <c r="T202" s="59"/>
      <c r="U202" s="77" t="str">
        <f t="array" ref="U202">IFERROR(INDEX(DFD!$D$2:$D$1048791,MATCH($Q202,DFD!$B$2:$B$1048791,0)),"")</f>
        <v/>
      </c>
      <c r="V202" s="77" t="str">
        <f t="array" ref="V202">IFERROR(INDEX(DFD!$F$2:$F$1048791,MATCH($Q202,DFD!$B$2:$B$1048791,0)),"")</f>
        <v/>
      </c>
      <c r="W202" s="84" t="str">
        <f t="array" ref="W202">IFERROR(INDEX(DFD!$E$2:$E$1048791,MATCH($Q202,DFD!$B$2:$B$1048791,0)),"")</f>
        <v/>
      </c>
      <c r="X202" s="84" t="str">
        <f t="array" ref="X202">IFERROR(INDEX(DFD!$K$2:$K$1048791,MATCH($Q202,DFD!$B$2:$B$1048791,0)),"")</f>
        <v/>
      </c>
      <c r="Y202" s="84" t="str">
        <f t="array" ref="Y202">IFERROR(INDEX(DFD!$L$2:$L$1048790,MATCH($Q202,DFD!$B$2:$B$1048790,0)),"")</f>
        <v/>
      </c>
      <c r="Z202" s="84">
        <f t="shared" si="10"/>
        <v>45</v>
      </c>
      <c r="AA202" s="59"/>
      <c r="AB202" s="59" t="s">
        <v>78</v>
      </c>
      <c r="AC202" s="59"/>
      <c r="AD202" s="85">
        <v>46043.0</v>
      </c>
      <c r="AE202" s="86">
        <f t="shared" si="8"/>
        <v>1</v>
      </c>
    </row>
    <row r="203" ht="15.75" customHeight="1">
      <c r="A203" s="87" t="s">
        <v>812</v>
      </c>
      <c r="B203" s="87" t="s">
        <v>98</v>
      </c>
      <c r="C203" s="88" t="s">
        <v>807</v>
      </c>
      <c r="D203" s="88" t="s">
        <v>51</v>
      </c>
      <c r="E203" s="88">
        <v>2.0</v>
      </c>
      <c r="F203" s="89">
        <v>1140.0</v>
      </c>
      <c r="G203" s="90" t="s">
        <v>53</v>
      </c>
      <c r="H203" s="91">
        <v>46174.0</v>
      </c>
      <c r="I203" s="92" t="s">
        <v>17</v>
      </c>
      <c r="J203" s="92" t="s">
        <v>54</v>
      </c>
      <c r="K203" s="92" t="s">
        <v>66</v>
      </c>
      <c r="L203" s="92" t="s">
        <v>67</v>
      </c>
      <c r="M203" s="90" t="s">
        <v>117</v>
      </c>
      <c r="N203" s="92" t="s">
        <v>5</v>
      </c>
      <c r="O203" s="92" t="s">
        <v>89</v>
      </c>
      <c r="P203" s="87"/>
      <c r="Q203" s="87" t="s">
        <v>808</v>
      </c>
      <c r="R203" s="93" t="s">
        <v>373</v>
      </c>
      <c r="S203" s="87"/>
      <c r="T203" s="87"/>
      <c r="U203" s="94" t="str">
        <f t="array" ref="U203">IFERROR(INDEX(DFD!$D$2:$D$1048791,MATCH($Q203,DFD!$B$2:$B$1048791,0)),"")</f>
        <v/>
      </c>
      <c r="V203" s="94" t="str">
        <f t="array" ref="V203">IFERROR(INDEX(DFD!$F$2:$F$1048791,MATCH($Q203,DFD!$B$2:$B$1048791,0)),"")</f>
        <v/>
      </c>
      <c r="W203" s="97" t="str">
        <f t="array" ref="W203">IFERROR(INDEX(DFD!$E$2:$E$1048791,MATCH($Q203,DFD!$B$2:$B$1048791,0)),"")</f>
        <v/>
      </c>
      <c r="X203" s="97" t="str">
        <f t="array" ref="X203">IFERROR(INDEX(DFD!$K$2:$K$1048791,MATCH($Q203,DFD!$B$2:$B$1048791,0)),"")</f>
        <v/>
      </c>
      <c r="Y203" s="97" t="str">
        <f t="array" ref="Y203">IFERROR(INDEX(DFD!$L$2:$L$1048790,MATCH($Q203,DFD!$B$2:$B$1048790,0)),"")</f>
        <v/>
      </c>
      <c r="Z203" s="97">
        <f t="shared" si="10"/>
        <v>45</v>
      </c>
      <c r="AA203" s="87"/>
      <c r="AB203" s="87" t="s">
        <v>78</v>
      </c>
      <c r="AC203" s="87"/>
      <c r="AD203" s="99">
        <v>46043.0</v>
      </c>
      <c r="AE203" s="100">
        <f t="shared" si="8"/>
        <v>1</v>
      </c>
    </row>
    <row r="204" ht="15.75" customHeight="1">
      <c r="A204" s="59" t="s">
        <v>813</v>
      </c>
      <c r="B204" s="59" t="s">
        <v>602</v>
      </c>
      <c r="C204" s="60" t="s">
        <v>807</v>
      </c>
      <c r="D204" s="60" t="s">
        <v>51</v>
      </c>
      <c r="E204" s="60">
        <v>1.0</v>
      </c>
      <c r="F204" s="72">
        <v>570.0</v>
      </c>
      <c r="G204" s="73" t="s">
        <v>53</v>
      </c>
      <c r="H204" s="74">
        <v>46174.0</v>
      </c>
      <c r="I204" s="67" t="s">
        <v>17</v>
      </c>
      <c r="J204" s="67" t="s">
        <v>54</v>
      </c>
      <c r="K204" s="67" t="s">
        <v>66</v>
      </c>
      <c r="L204" s="67" t="s">
        <v>67</v>
      </c>
      <c r="M204" s="73" t="s">
        <v>117</v>
      </c>
      <c r="N204" s="67" t="s">
        <v>5</v>
      </c>
      <c r="O204" s="59" t="s">
        <v>69</v>
      </c>
      <c r="P204" s="59"/>
      <c r="Q204" s="59" t="s">
        <v>808</v>
      </c>
      <c r="R204" s="76" t="s">
        <v>373</v>
      </c>
      <c r="S204" s="59"/>
      <c r="T204" s="59"/>
      <c r="U204" s="77" t="str">
        <f t="array" ref="U204">IFERROR(INDEX(DFD!$D$2:$D$1048791,MATCH($Q204,DFD!$B$2:$B$1048791,0)),"")</f>
        <v/>
      </c>
      <c r="V204" s="77" t="str">
        <f t="array" ref="V204">IFERROR(INDEX(DFD!$F$2:$F$1048791,MATCH($Q204,DFD!$B$2:$B$1048791,0)),"")</f>
        <v/>
      </c>
      <c r="W204" s="84" t="str">
        <f t="array" ref="W204">IFERROR(INDEX(DFD!$E$2:$E$1048791,MATCH($Q204,DFD!$B$2:$B$1048791,0)),"")</f>
        <v/>
      </c>
      <c r="X204" s="84" t="str">
        <f t="array" ref="X204">IFERROR(INDEX(DFD!$K$2:$K$1048791,MATCH($Q204,DFD!$B$2:$B$1048791,0)),"")</f>
        <v/>
      </c>
      <c r="Y204" s="84" t="str">
        <f t="array" ref="Y204">IFERROR(INDEX(DFD!$L$2:$L$1048790,MATCH($Q204,DFD!$B$2:$B$1048790,0)),"")</f>
        <v/>
      </c>
      <c r="Z204" s="84">
        <f t="shared" si="10"/>
        <v>45</v>
      </c>
      <c r="AA204" s="59"/>
      <c r="AB204" s="59" t="s">
        <v>78</v>
      </c>
      <c r="AC204" s="59"/>
      <c r="AD204" s="85">
        <v>46043.0</v>
      </c>
      <c r="AE204" s="86">
        <f t="shared" si="8"/>
        <v>1</v>
      </c>
    </row>
    <row r="205" ht="15.75" customHeight="1">
      <c r="A205" s="87" t="s">
        <v>816</v>
      </c>
      <c r="B205" s="87" t="s">
        <v>94</v>
      </c>
      <c r="C205" s="88" t="s">
        <v>807</v>
      </c>
      <c r="D205" s="88" t="s">
        <v>51</v>
      </c>
      <c r="E205" s="88">
        <v>1.0</v>
      </c>
      <c r="F205" s="89">
        <v>570.0</v>
      </c>
      <c r="G205" s="90" t="s">
        <v>53</v>
      </c>
      <c r="H205" s="91">
        <v>46174.0</v>
      </c>
      <c r="I205" s="92" t="s">
        <v>17</v>
      </c>
      <c r="J205" s="92" t="s">
        <v>54</v>
      </c>
      <c r="K205" s="92" t="s">
        <v>66</v>
      </c>
      <c r="L205" s="92" t="s">
        <v>67</v>
      </c>
      <c r="M205" s="90" t="s">
        <v>117</v>
      </c>
      <c r="N205" s="92" t="s">
        <v>5</v>
      </c>
      <c r="O205" s="87" t="s">
        <v>69</v>
      </c>
      <c r="P205" s="87"/>
      <c r="Q205" s="87" t="s">
        <v>808</v>
      </c>
      <c r="R205" s="93" t="s">
        <v>373</v>
      </c>
      <c r="S205" s="87"/>
      <c r="T205" s="87"/>
      <c r="U205" s="94" t="str">
        <f t="array" ref="U205">IFERROR(INDEX(DFD!$D$2:$D$1048791,MATCH($Q205,DFD!$B$2:$B$1048791,0)),"")</f>
        <v/>
      </c>
      <c r="V205" s="94" t="str">
        <f t="array" ref="V205">IFERROR(INDEX(DFD!$F$2:$F$1048791,MATCH($Q205,DFD!$B$2:$B$1048791,0)),"")</f>
        <v/>
      </c>
      <c r="W205" s="97" t="str">
        <f t="array" ref="W205">IFERROR(INDEX(DFD!$E$2:$E$1048791,MATCH($Q205,DFD!$B$2:$B$1048791,0)),"")</f>
        <v/>
      </c>
      <c r="X205" s="97" t="str">
        <f t="array" ref="X205">IFERROR(INDEX(DFD!$K$2:$K$1048791,MATCH($Q205,DFD!$B$2:$B$1048791,0)),"")</f>
        <v/>
      </c>
      <c r="Y205" s="97" t="str">
        <f t="array" ref="Y205">IFERROR(INDEX(DFD!$L$2:$L$1048790,MATCH($Q205,DFD!$B$2:$B$1048790,0)),"")</f>
        <v/>
      </c>
      <c r="Z205" s="97">
        <f t="shared" si="10"/>
        <v>45</v>
      </c>
      <c r="AA205" s="87"/>
      <c r="AB205" s="87" t="s">
        <v>78</v>
      </c>
      <c r="AC205" s="87"/>
      <c r="AD205" s="99">
        <v>46043.0</v>
      </c>
      <c r="AE205" s="100">
        <f t="shared" si="8"/>
        <v>1</v>
      </c>
    </row>
    <row r="206" ht="15.75" customHeight="1">
      <c r="A206" s="59" t="s">
        <v>817</v>
      </c>
      <c r="B206" s="59" t="s">
        <v>355</v>
      </c>
      <c r="C206" s="60" t="s">
        <v>818</v>
      </c>
      <c r="D206" s="60" t="s">
        <v>51</v>
      </c>
      <c r="E206" s="60">
        <v>50.0</v>
      </c>
      <c r="F206" s="72">
        <v>30000.0</v>
      </c>
      <c r="G206" s="73" t="s">
        <v>53</v>
      </c>
      <c r="H206" s="74">
        <v>46235.0</v>
      </c>
      <c r="I206" s="67" t="s">
        <v>17</v>
      </c>
      <c r="J206" s="67" t="s">
        <v>54</v>
      </c>
      <c r="K206" s="67" t="s">
        <v>66</v>
      </c>
      <c r="L206" s="67" t="s">
        <v>56</v>
      </c>
      <c r="M206" s="73" t="s">
        <v>167</v>
      </c>
      <c r="N206" s="67" t="s">
        <v>58</v>
      </c>
      <c r="O206" s="67" t="s">
        <v>89</v>
      </c>
      <c r="P206" s="59"/>
      <c r="Q206" s="59" t="s">
        <v>52</v>
      </c>
      <c r="R206" s="76" t="s">
        <v>71</v>
      </c>
      <c r="S206" s="59"/>
      <c r="T206" s="59"/>
      <c r="U206" s="77" t="str">
        <f t="array" ref="U206">IFERROR(INDEX(DFD!$D$2:$D$1048791,MATCH($Q206,DFD!$B$2:$B$1048791,0)),"")</f>
        <v/>
      </c>
      <c r="V206" s="77" t="str">
        <f t="array" ref="V206">IFERROR(INDEX(DFD!$F$2:$F$1048791,MATCH($Q206,DFD!$B$2:$B$1048791,0)),"")</f>
        <v/>
      </c>
      <c r="W206" s="84" t="str">
        <f t="array" ref="W206">IFERROR(INDEX(DFD!$E$2:$E$1048791,MATCH($Q206,DFD!$B$2:$B$1048791,0)),"")</f>
        <v/>
      </c>
      <c r="X206" s="84" t="str">
        <f t="array" ref="X206">IFERROR(INDEX(DFD!$K$2:$K$1048791,MATCH($Q206,DFD!$B$2:$B$1048791,0)),"")</f>
        <v/>
      </c>
      <c r="Y206" s="84" t="str">
        <f t="array" ref="Y206">IFERROR(INDEX(DFD!$L$2:$L$1048790,MATCH($Q206,DFD!$B$2:$B$1048790,0)),"")</f>
        <v/>
      </c>
      <c r="Z206" s="84">
        <f t="shared" si="10"/>
        <v>45</v>
      </c>
      <c r="AA206" s="59"/>
      <c r="AB206" s="59" t="s">
        <v>72</v>
      </c>
      <c r="AC206" s="59"/>
      <c r="AD206" s="85">
        <v>46043.0</v>
      </c>
      <c r="AE206" s="86">
        <f t="shared" si="8"/>
        <v>1</v>
      </c>
    </row>
    <row r="207" ht="15.75" customHeight="1">
      <c r="A207" s="87" t="s">
        <v>820</v>
      </c>
      <c r="B207" s="87" t="s">
        <v>94</v>
      </c>
      <c r="C207" s="88" t="s">
        <v>821</v>
      </c>
      <c r="D207" s="88" t="s">
        <v>51</v>
      </c>
      <c r="E207" s="88">
        <v>4.0</v>
      </c>
      <c r="F207" s="89">
        <v>840.0</v>
      </c>
      <c r="G207" s="90" t="s">
        <v>53</v>
      </c>
      <c r="H207" s="91">
        <v>46174.0</v>
      </c>
      <c r="I207" s="92" t="s">
        <v>17</v>
      </c>
      <c r="J207" s="92" t="s">
        <v>54</v>
      </c>
      <c r="K207" s="92" t="s">
        <v>66</v>
      </c>
      <c r="L207" s="92" t="s">
        <v>67</v>
      </c>
      <c r="M207" s="90" t="s">
        <v>132</v>
      </c>
      <c r="N207" s="92" t="s">
        <v>5</v>
      </c>
      <c r="O207" s="87" t="s">
        <v>69</v>
      </c>
      <c r="P207" s="87"/>
      <c r="Q207" s="87" t="s">
        <v>822</v>
      </c>
      <c r="R207" s="93" t="s">
        <v>71</v>
      </c>
      <c r="S207" s="87"/>
      <c r="T207" s="87"/>
      <c r="U207" s="94" t="str">
        <f t="array" ref="U207">IFERROR(INDEX(DFD!$D$2:$D$1048791,MATCH($Q207,DFD!$B$2:$B$1048791,0)),"")</f>
        <v/>
      </c>
      <c r="V207" s="94" t="s">
        <v>280</v>
      </c>
      <c r="W207" s="97" t="str">
        <f t="array" ref="W207">IFERROR(INDEX(DFD!$E$2:$E$1048791,MATCH($Q207,DFD!$B$2:$B$1048791,0)),"")</f>
        <v/>
      </c>
      <c r="X207" s="97" t="str">
        <f t="array" ref="X207">IFERROR(INDEX(DFD!$K$2:$K$1048791,MATCH($Q207,DFD!$B$2:$B$1048791,0)),"")</f>
        <v/>
      </c>
      <c r="Y207" s="97" t="str">
        <f t="array" ref="Y207">IFERROR(INDEX(DFD!$L$2:$L$1048790,MATCH($Q207,DFD!$B$2:$B$1048790,0)),"")</f>
        <v/>
      </c>
      <c r="Z207" s="97">
        <f t="shared" si="10"/>
        <v>45</v>
      </c>
      <c r="AA207" s="87"/>
      <c r="AB207" s="87" t="s">
        <v>78</v>
      </c>
      <c r="AC207" s="87"/>
      <c r="AD207" s="99">
        <v>46043.0</v>
      </c>
      <c r="AE207" s="100">
        <f t="shared" si="8"/>
        <v>1</v>
      </c>
    </row>
    <row r="208" ht="15.75" customHeight="1">
      <c r="A208" s="67" t="s">
        <v>824</v>
      </c>
      <c r="B208" s="71" t="s">
        <v>184</v>
      </c>
      <c r="C208" s="60" t="s">
        <v>826</v>
      </c>
      <c r="D208" s="60" t="s">
        <v>51</v>
      </c>
      <c r="E208" s="60">
        <v>20.0</v>
      </c>
      <c r="F208" s="72">
        <v>20000.0</v>
      </c>
      <c r="G208" s="73" t="s">
        <v>53</v>
      </c>
      <c r="H208" s="74">
        <v>46266.0</v>
      </c>
      <c r="I208" s="67" t="s">
        <v>17</v>
      </c>
      <c r="J208" s="67" t="s">
        <v>54</v>
      </c>
      <c r="K208" s="67" t="s">
        <v>66</v>
      </c>
      <c r="L208" s="67" t="s">
        <v>67</v>
      </c>
      <c r="M208" s="73" t="s">
        <v>68</v>
      </c>
      <c r="N208" s="67" t="s">
        <v>20</v>
      </c>
      <c r="O208" s="59" t="s">
        <v>69</v>
      </c>
      <c r="P208" s="59"/>
      <c r="Q208" s="59" t="s">
        <v>681</v>
      </c>
      <c r="R208" s="76" t="s">
        <v>71</v>
      </c>
      <c r="S208" s="59"/>
      <c r="T208" s="59"/>
      <c r="U208" s="77" t="str">
        <f t="array" ref="U208">IFERROR(INDEX(DFD!$D$2:$D$1048791,MATCH($Q208,DFD!$B$2:$B$1048791,0)),"")</f>
        <v/>
      </c>
      <c r="V208" s="77" t="s">
        <v>280</v>
      </c>
      <c r="W208" s="84" t="str">
        <f t="array" ref="W208">IFERROR(INDEX(DFD!$E$2:$E$1048791,MATCH($Q208,DFD!$B$2:$B$1048791,0)),"")</f>
        <v/>
      </c>
      <c r="X208" s="84" t="str">
        <f t="array" ref="X208">IFERROR(INDEX(DFD!$K$2:$K$1048791,MATCH($Q208,DFD!$B$2:$B$1048791,0)),"")</f>
        <v/>
      </c>
      <c r="Y208" s="84" t="str">
        <f t="array" ref="Y208">IFERROR(INDEX(DFD!$L$2:$L$1048790,MATCH($Q208,DFD!$B$2:$B$1048790,0)),"")</f>
        <v/>
      </c>
      <c r="Z208" s="84">
        <f t="shared" si="10"/>
        <v>45</v>
      </c>
      <c r="AA208" s="150" t="s">
        <v>683</v>
      </c>
      <c r="AB208" s="59" t="s">
        <v>78</v>
      </c>
      <c r="AC208" s="59"/>
      <c r="AD208" s="85">
        <v>46043.0</v>
      </c>
      <c r="AE208" s="86">
        <f t="shared" si="8"/>
        <v>1</v>
      </c>
    </row>
    <row r="209" ht="15.75" customHeight="1">
      <c r="A209" s="87" t="s">
        <v>828</v>
      </c>
      <c r="B209" s="87" t="s">
        <v>162</v>
      </c>
      <c r="C209" s="88" t="s">
        <v>829</v>
      </c>
      <c r="D209" s="88" t="s">
        <v>51</v>
      </c>
      <c r="E209" s="88">
        <v>2500.0</v>
      </c>
      <c r="F209" s="89">
        <v>21250.0</v>
      </c>
      <c r="G209" s="90" t="s">
        <v>53</v>
      </c>
      <c r="H209" s="91">
        <v>46235.0</v>
      </c>
      <c r="I209" s="92" t="s">
        <v>17</v>
      </c>
      <c r="J209" s="92" t="s">
        <v>54</v>
      </c>
      <c r="K209" s="92" t="s">
        <v>721</v>
      </c>
      <c r="L209" s="92" t="s">
        <v>67</v>
      </c>
      <c r="M209" s="90" t="s">
        <v>112</v>
      </c>
      <c r="N209" s="92" t="s">
        <v>5</v>
      </c>
      <c r="O209" s="92" t="s">
        <v>89</v>
      </c>
      <c r="P209" s="87"/>
      <c r="Q209" s="87" t="s">
        <v>830</v>
      </c>
      <c r="R209" s="93" t="s">
        <v>287</v>
      </c>
      <c r="S209" s="87"/>
      <c r="T209" s="87"/>
      <c r="U209" s="94" t="str">
        <f t="array" ref="U209">IFERROR(INDEX(DFD!$D$2:$D$1048791,MATCH($Q209,DFD!$B$2:$B$1048791,0)),"")</f>
        <v/>
      </c>
      <c r="V209" s="94" t="str">
        <f t="array" ref="V209">IFERROR(INDEX(DFD!$F$2:$F$1048791,MATCH($Q209,DFD!$B$2:$B$1048791,0)),"")</f>
        <v/>
      </c>
      <c r="W209" s="97" t="str">
        <f t="array" ref="W209">IFERROR(INDEX(DFD!$E$2:$E$1048791,MATCH($Q209,DFD!$B$2:$B$1048791,0)),"")</f>
        <v/>
      </c>
      <c r="X209" s="97" t="str">
        <f t="array" ref="X209">IFERROR(INDEX(DFD!$K$2:$K$1048791,MATCH($Q209,DFD!$B$2:$B$1048791,0)),"")</f>
        <v/>
      </c>
      <c r="Y209" s="97" t="str">
        <f t="array" ref="Y209">IFERROR(INDEX(DFD!$L$2:$L$1048790,MATCH($Q209,DFD!$B$2:$B$1048790,0)),"")</f>
        <v/>
      </c>
      <c r="Z209" s="97">
        <f t="shared" si="10"/>
        <v>45</v>
      </c>
      <c r="AA209" s="87"/>
      <c r="AB209" s="87" t="s">
        <v>78</v>
      </c>
      <c r="AC209" s="87"/>
      <c r="AD209" s="99">
        <v>46043.0</v>
      </c>
      <c r="AE209" s="100">
        <f t="shared" si="8"/>
        <v>1</v>
      </c>
    </row>
    <row r="210" ht="15.75" customHeight="1">
      <c r="A210" s="67" t="s">
        <v>832</v>
      </c>
      <c r="B210" s="59" t="s">
        <v>172</v>
      </c>
      <c r="C210" s="60" t="s">
        <v>833</v>
      </c>
      <c r="D210" s="60" t="s">
        <v>51</v>
      </c>
      <c r="E210" s="60">
        <v>1.0</v>
      </c>
      <c r="F210" s="72">
        <v>2800.0</v>
      </c>
      <c r="G210" s="73" t="s">
        <v>53</v>
      </c>
      <c r="H210" s="74">
        <v>46174.0</v>
      </c>
      <c r="I210" s="67" t="s">
        <v>18</v>
      </c>
      <c r="J210" s="67" t="s">
        <v>54</v>
      </c>
      <c r="K210" s="67" t="s">
        <v>83</v>
      </c>
      <c r="L210" s="67" t="s">
        <v>67</v>
      </c>
      <c r="M210" s="73" t="s">
        <v>57</v>
      </c>
      <c r="N210" s="67" t="s">
        <v>20</v>
      </c>
      <c r="O210" s="59" t="s">
        <v>69</v>
      </c>
      <c r="P210" s="59"/>
      <c r="Q210" s="59" t="s">
        <v>835</v>
      </c>
      <c r="R210" s="76" t="s">
        <v>323</v>
      </c>
      <c r="S210" s="59"/>
      <c r="T210" s="59"/>
      <c r="U210" s="77" t="str">
        <f t="array" ref="U210">IFERROR(INDEX(DFD!$D$2:$D$1048791,MATCH($Q210,DFD!$B$2:$B$1048791,0)),"")</f>
        <v/>
      </c>
      <c r="V210" s="77" t="str">
        <f t="array" ref="V210">IFERROR(INDEX(DFD!$F$2:$F$1048791,MATCH($Q210,DFD!$B$2:$B$1048791,0)),"")</f>
        <v/>
      </c>
      <c r="W210" s="84" t="str">
        <f t="array" ref="W210">IFERROR(INDEX(DFD!$E$2:$E$1048791,MATCH($Q210,DFD!$B$2:$B$1048791,0)),"")</f>
        <v/>
      </c>
      <c r="X210" s="84" t="str">
        <f t="array" ref="X210">IFERROR(INDEX(DFD!$K$2:$K$1048791,MATCH($Q210,DFD!$B$2:$B$1048791,0)),"")</f>
        <v/>
      </c>
      <c r="Y210" s="84" t="str">
        <f t="array" ref="Y210">IFERROR(INDEX(DFD!$L$2:$L$1048790,MATCH($Q210,DFD!$B$2:$B$1048790,0)),"")</f>
        <v/>
      </c>
      <c r="Z210" s="84">
        <f t="shared" si="10"/>
        <v>45</v>
      </c>
      <c r="AA210" s="59"/>
      <c r="AB210" s="59" t="s">
        <v>78</v>
      </c>
      <c r="AC210" s="59"/>
      <c r="AD210" s="85">
        <v>46043.0</v>
      </c>
      <c r="AE210" s="86">
        <f t="shared" si="8"/>
        <v>1</v>
      </c>
    </row>
    <row r="211" ht="15.75" customHeight="1">
      <c r="A211" s="92" t="s">
        <v>837</v>
      </c>
      <c r="B211" s="87" t="s">
        <v>64</v>
      </c>
      <c r="C211" s="88" t="s">
        <v>839</v>
      </c>
      <c r="D211" s="88" t="s">
        <v>51</v>
      </c>
      <c r="E211" s="88">
        <v>12.0</v>
      </c>
      <c r="F211" s="89">
        <v>1800.0</v>
      </c>
      <c r="G211" s="90" t="s">
        <v>53</v>
      </c>
      <c r="H211" s="91">
        <v>46174.0</v>
      </c>
      <c r="I211" s="92" t="s">
        <v>17</v>
      </c>
      <c r="J211" s="92" t="s">
        <v>54</v>
      </c>
      <c r="K211" s="92" t="s">
        <v>66</v>
      </c>
      <c r="L211" s="92" t="s">
        <v>56</v>
      </c>
      <c r="M211" s="90" t="s">
        <v>112</v>
      </c>
      <c r="N211" s="92" t="s">
        <v>20</v>
      </c>
      <c r="O211" s="87" t="s">
        <v>69</v>
      </c>
      <c r="P211" s="87"/>
      <c r="Q211" s="87" t="s">
        <v>840</v>
      </c>
      <c r="R211" s="93" t="s">
        <v>323</v>
      </c>
      <c r="S211" s="87"/>
      <c r="T211" s="87"/>
      <c r="U211" s="94" t="str">
        <f t="array" ref="U211">IFERROR(INDEX(DFD!$D$2:$D$1048791,MATCH($Q211,DFD!$B$2:$B$1048791,0)),"")</f>
        <v/>
      </c>
      <c r="V211" s="94" t="str">
        <f t="array" ref="V211">IFERROR(INDEX(DFD!$F$2:$F$1048791,MATCH($Q211,DFD!$B$2:$B$1048791,0)),"")</f>
        <v/>
      </c>
      <c r="W211" s="97" t="str">
        <f t="array" ref="W211">IFERROR(INDEX(DFD!$E$2:$E$1048791,MATCH($Q211,DFD!$B$2:$B$1048791,0)),"")</f>
        <v/>
      </c>
      <c r="X211" s="97" t="str">
        <f t="array" ref="X211">IFERROR(INDEX(DFD!$K$2:$K$1048791,MATCH($Q211,DFD!$B$2:$B$1048791,0)),"")</f>
        <v/>
      </c>
      <c r="Y211" s="97" t="str">
        <f t="array" ref="Y211">IFERROR(INDEX(DFD!$L$2:$L$1048790,MATCH($Q211,DFD!$B$2:$B$1048790,0)),"")</f>
        <v/>
      </c>
      <c r="Z211" s="97">
        <f t="shared" si="10"/>
        <v>45</v>
      </c>
      <c r="AA211" s="87"/>
      <c r="AB211" s="87" t="s">
        <v>78</v>
      </c>
      <c r="AC211" s="87"/>
      <c r="AD211" s="99">
        <v>46043.0</v>
      </c>
      <c r="AE211" s="100">
        <f t="shared" si="8"/>
        <v>1</v>
      </c>
    </row>
    <row r="212" ht="15.75" customHeight="1">
      <c r="A212" s="67" t="s">
        <v>842</v>
      </c>
      <c r="B212" s="67" t="s">
        <v>64</v>
      </c>
      <c r="C212" s="60" t="s">
        <v>839</v>
      </c>
      <c r="D212" s="81" t="s">
        <v>51</v>
      </c>
      <c r="E212" s="81">
        <v>12.0</v>
      </c>
      <c r="F212" s="101">
        <v>1800.0</v>
      </c>
      <c r="G212" s="73" t="s">
        <v>53</v>
      </c>
      <c r="H212" s="83">
        <v>46174.0</v>
      </c>
      <c r="I212" s="67" t="s">
        <v>17</v>
      </c>
      <c r="J212" s="67" t="s">
        <v>54</v>
      </c>
      <c r="K212" s="67" t="s">
        <v>66</v>
      </c>
      <c r="L212" s="67" t="s">
        <v>56</v>
      </c>
      <c r="M212" s="73" t="s">
        <v>112</v>
      </c>
      <c r="N212" s="67" t="s">
        <v>20</v>
      </c>
      <c r="O212" s="67" t="s">
        <v>89</v>
      </c>
      <c r="P212" s="59"/>
      <c r="Q212" s="59" t="s">
        <v>840</v>
      </c>
      <c r="R212" s="76" t="s">
        <v>323</v>
      </c>
      <c r="S212" s="59"/>
      <c r="T212" s="59"/>
      <c r="U212" s="77" t="str">
        <f t="array" ref="U212">IFERROR(INDEX(DFD!$D$2:$D$1048791,MATCH($Q212,DFD!$B$2:$B$1048791,0)),"")</f>
        <v/>
      </c>
      <c r="V212" s="77" t="str">
        <f t="array" ref="V212">IFERROR(INDEX(DFD!$F$2:$F$1048791,MATCH($Q212,DFD!$B$2:$B$1048791,0)),"")</f>
        <v/>
      </c>
      <c r="W212" s="84" t="str">
        <f t="array" ref="W212">IFERROR(INDEX(DFD!$E$2:$E$1048791,MATCH($Q212,DFD!$B$2:$B$1048791,0)),"")</f>
        <v/>
      </c>
      <c r="X212" s="84" t="str">
        <f t="array" ref="X212">IFERROR(INDEX(DFD!$K$2:$K$1048791,MATCH($Q212,DFD!$B$2:$B$1048791,0)),"")</f>
        <v/>
      </c>
      <c r="Y212" s="84" t="str">
        <f t="array" ref="Y212">IFERROR(INDEX(DFD!$L$2:$L$1048790,MATCH($Q212,DFD!$B$2:$B$1048790,0)),"")</f>
        <v/>
      </c>
      <c r="Z212" s="84">
        <f t="shared" si="10"/>
        <v>45</v>
      </c>
      <c r="AA212" s="59"/>
      <c r="AB212" s="59" t="s">
        <v>78</v>
      </c>
      <c r="AC212" s="59"/>
      <c r="AD212" s="85">
        <v>46043.0</v>
      </c>
      <c r="AE212" s="86">
        <f t="shared" si="8"/>
        <v>1</v>
      </c>
    </row>
    <row r="213" ht="15.75" customHeight="1">
      <c r="A213" s="87" t="s">
        <v>843</v>
      </c>
      <c r="B213" s="87" t="s">
        <v>400</v>
      </c>
      <c r="C213" s="88" t="s">
        <v>844</v>
      </c>
      <c r="D213" s="88" t="s">
        <v>51</v>
      </c>
      <c r="E213" s="88">
        <v>100.0</v>
      </c>
      <c r="F213" s="89">
        <v>30000.0</v>
      </c>
      <c r="G213" s="90" t="s">
        <v>53</v>
      </c>
      <c r="H213" s="91">
        <v>46235.0</v>
      </c>
      <c r="I213" s="92" t="s">
        <v>17</v>
      </c>
      <c r="J213" s="92" t="s">
        <v>54</v>
      </c>
      <c r="K213" s="92" t="s">
        <v>66</v>
      </c>
      <c r="L213" s="92" t="s">
        <v>56</v>
      </c>
      <c r="M213" s="90" t="s">
        <v>68</v>
      </c>
      <c r="N213" s="92" t="s">
        <v>58</v>
      </c>
      <c r="O213" s="87" t="s">
        <v>69</v>
      </c>
      <c r="P213" s="87"/>
      <c r="Q213" s="87" t="s">
        <v>752</v>
      </c>
      <c r="R213" s="93" t="s">
        <v>323</v>
      </c>
      <c r="S213" s="87"/>
      <c r="T213" s="87"/>
      <c r="U213" s="94" t="str">
        <f t="array" ref="U213">IFERROR(INDEX(DFD!$D$2:$D$1048791,MATCH($Q213,DFD!$B$2:$B$1048791,0)),"")</f>
        <v/>
      </c>
      <c r="V213" s="94" t="str">
        <f t="array" ref="V213">IFERROR(INDEX(DFD!$F$2:$F$1048791,MATCH($Q213,DFD!$B$2:$B$1048791,0)),"")</f>
        <v/>
      </c>
      <c r="W213" s="97" t="str">
        <f t="array" ref="W213">IFERROR(INDEX(DFD!$E$2:$E$1048791,MATCH($Q213,DFD!$B$2:$B$1048791,0)),"")</f>
        <v/>
      </c>
      <c r="X213" s="97" t="str">
        <f t="array" ref="X213">IFERROR(INDEX(DFD!$K$2:$K$1048791,MATCH($Q213,DFD!$B$2:$B$1048791,0)),"")</f>
        <v/>
      </c>
      <c r="Y213" s="97" t="str">
        <f t="array" ref="Y213">IFERROR(INDEX(DFD!$L$2:$L$1048790,MATCH($Q213,DFD!$B$2:$B$1048790,0)),"")</f>
        <v/>
      </c>
      <c r="Z213" s="97">
        <f t="shared" si="10"/>
        <v>45</v>
      </c>
      <c r="AA213" s="87"/>
      <c r="AB213" s="87" t="s">
        <v>78</v>
      </c>
      <c r="AC213" s="87"/>
      <c r="AD213" s="99">
        <v>46043.0</v>
      </c>
      <c r="AE213" s="100">
        <f t="shared" si="8"/>
        <v>1</v>
      </c>
    </row>
    <row r="214" ht="15.75" customHeight="1">
      <c r="A214" s="59" t="s">
        <v>847</v>
      </c>
      <c r="B214" s="67" t="s">
        <v>400</v>
      </c>
      <c r="C214" s="60" t="s">
        <v>844</v>
      </c>
      <c r="D214" s="81" t="s">
        <v>51</v>
      </c>
      <c r="E214" s="81">
        <v>100.0</v>
      </c>
      <c r="F214" s="101">
        <v>30000.0</v>
      </c>
      <c r="G214" s="73" t="s">
        <v>53</v>
      </c>
      <c r="H214" s="83">
        <v>46235.0</v>
      </c>
      <c r="I214" s="67" t="s">
        <v>17</v>
      </c>
      <c r="J214" s="67" t="s">
        <v>54</v>
      </c>
      <c r="K214" s="67" t="s">
        <v>66</v>
      </c>
      <c r="L214" s="67" t="s">
        <v>56</v>
      </c>
      <c r="M214" s="73" t="s">
        <v>104</v>
      </c>
      <c r="N214" s="67" t="s">
        <v>58</v>
      </c>
      <c r="O214" s="59" t="s">
        <v>69</v>
      </c>
      <c r="P214" s="59"/>
      <c r="Q214" s="59" t="s">
        <v>752</v>
      </c>
      <c r="R214" s="76" t="s">
        <v>323</v>
      </c>
      <c r="S214" s="59"/>
      <c r="T214" s="59"/>
      <c r="U214" s="77" t="str">
        <f t="array" ref="U214">IFERROR(INDEX(DFD!$D$2:$D$1048791,MATCH($Q214,DFD!$B$2:$B$1048791,0)),"")</f>
        <v/>
      </c>
      <c r="V214" s="77" t="str">
        <f t="array" ref="V214">IFERROR(INDEX(DFD!$F$2:$F$1048791,MATCH($Q214,DFD!$B$2:$B$1048791,0)),"")</f>
        <v/>
      </c>
      <c r="W214" s="84" t="str">
        <f t="array" ref="W214">IFERROR(INDEX(DFD!$E$2:$E$1048791,MATCH($Q214,DFD!$B$2:$B$1048791,0)),"")</f>
        <v/>
      </c>
      <c r="X214" s="84" t="str">
        <f t="array" ref="X214">IFERROR(INDEX(DFD!$K$2:$K$1048791,MATCH($Q214,DFD!$B$2:$B$1048791,0)),"")</f>
        <v/>
      </c>
      <c r="Y214" s="84" t="str">
        <f t="array" ref="Y214">IFERROR(INDEX(DFD!$L$2:$L$1048790,MATCH($Q214,DFD!$B$2:$B$1048790,0)),"")</f>
        <v/>
      </c>
      <c r="Z214" s="84">
        <f t="shared" si="10"/>
        <v>45</v>
      </c>
      <c r="AA214" s="59"/>
      <c r="AB214" s="59" t="s">
        <v>78</v>
      </c>
      <c r="AC214" s="59"/>
      <c r="AD214" s="85">
        <v>46043.0</v>
      </c>
      <c r="AE214" s="86">
        <f t="shared" si="8"/>
        <v>1</v>
      </c>
    </row>
    <row r="215" ht="15.75" customHeight="1">
      <c r="A215" s="87" t="s">
        <v>849</v>
      </c>
      <c r="B215" s="87" t="s">
        <v>52</v>
      </c>
      <c r="C215" s="88" t="s">
        <v>850</v>
      </c>
      <c r="D215" s="88" t="s">
        <v>51</v>
      </c>
      <c r="E215" s="88">
        <v>1000.0</v>
      </c>
      <c r="F215" s="89">
        <v>30000.0</v>
      </c>
      <c r="G215" s="90" t="s">
        <v>53</v>
      </c>
      <c r="H215" s="91">
        <v>46235.0</v>
      </c>
      <c r="I215" s="92" t="s">
        <v>17</v>
      </c>
      <c r="J215" s="92" t="s">
        <v>54</v>
      </c>
      <c r="K215" s="92" t="s">
        <v>721</v>
      </c>
      <c r="L215" s="92" t="s">
        <v>56</v>
      </c>
      <c r="M215" s="90" t="s">
        <v>104</v>
      </c>
      <c r="N215" s="92" t="s">
        <v>58</v>
      </c>
      <c r="O215" s="92" t="s">
        <v>89</v>
      </c>
      <c r="P215" s="87"/>
      <c r="Q215" s="87" t="s">
        <v>52</v>
      </c>
      <c r="R215" s="93" t="s">
        <v>71</v>
      </c>
      <c r="S215" s="87"/>
      <c r="T215" s="87"/>
      <c r="U215" s="94" t="str">
        <f t="array" ref="U215">IFERROR(INDEX(DFD!$D$2:$D$1048791,MATCH($Q215,DFD!$B$2:$B$1048791,0)),"")</f>
        <v/>
      </c>
      <c r="V215" s="94" t="str">
        <f t="array" ref="V215">IFERROR(INDEX(DFD!$F$2:$F$1048791,MATCH($Q215,DFD!$B$2:$B$1048791,0)),"")</f>
        <v/>
      </c>
      <c r="W215" s="97" t="str">
        <f t="array" ref="W215">IFERROR(INDEX(DFD!$E$2:$E$1048791,MATCH($Q215,DFD!$B$2:$B$1048791,0)),"")</f>
        <v/>
      </c>
      <c r="X215" s="97" t="str">
        <f t="array" ref="X215">IFERROR(INDEX(DFD!$K$2:$K$1048791,MATCH($Q215,DFD!$B$2:$B$1048791,0)),"")</f>
        <v/>
      </c>
      <c r="Y215" s="97" t="str">
        <f t="array" ref="Y215">IFERROR(INDEX(DFD!$L$2:$L$1048790,MATCH($Q215,DFD!$B$2:$B$1048790,0)),"")</f>
        <v/>
      </c>
      <c r="Z215" s="97">
        <f t="shared" si="10"/>
        <v>45</v>
      </c>
      <c r="AA215" s="87"/>
      <c r="AB215" s="87" t="s">
        <v>72</v>
      </c>
      <c r="AC215" s="87"/>
      <c r="AD215" s="99">
        <v>46043.0</v>
      </c>
      <c r="AE215" s="100">
        <f t="shared" si="8"/>
        <v>1</v>
      </c>
    </row>
    <row r="216" ht="15.75" customHeight="1">
      <c r="A216" s="67" t="s">
        <v>852</v>
      </c>
      <c r="B216" s="59" t="s">
        <v>105</v>
      </c>
      <c r="C216" s="60" t="s">
        <v>853</v>
      </c>
      <c r="D216" s="60" t="s">
        <v>51</v>
      </c>
      <c r="E216" s="60">
        <v>1.0</v>
      </c>
      <c r="F216" s="72">
        <v>5000.0</v>
      </c>
      <c r="G216" s="73" t="s">
        <v>53</v>
      </c>
      <c r="H216" s="74">
        <v>46204.0</v>
      </c>
      <c r="I216" s="67" t="s">
        <v>17</v>
      </c>
      <c r="J216" s="67" t="s">
        <v>54</v>
      </c>
      <c r="K216" s="67" t="s">
        <v>66</v>
      </c>
      <c r="L216" s="67" t="s">
        <v>56</v>
      </c>
      <c r="M216" s="73" t="s">
        <v>112</v>
      </c>
      <c r="N216" s="67" t="s">
        <v>20</v>
      </c>
      <c r="O216" s="59" t="s">
        <v>69</v>
      </c>
      <c r="P216" s="59"/>
      <c r="Q216" s="59" t="s">
        <v>521</v>
      </c>
      <c r="R216" s="76" t="s">
        <v>503</v>
      </c>
      <c r="S216" s="59"/>
      <c r="T216" s="59"/>
      <c r="U216" s="77" t="str">
        <f t="array" ref="U216">IFERROR(INDEX(DFD!$D$2:$D$1048791,MATCH($Q216,DFD!$B$2:$B$1048791,0)),"")</f>
        <v/>
      </c>
      <c r="V216" s="77" t="s">
        <v>280</v>
      </c>
      <c r="W216" s="84" t="str">
        <f t="array" ref="W216">IFERROR(INDEX(DFD!$E$2:$E$1048791,MATCH($Q216,DFD!$B$2:$B$1048791,0)),"")</f>
        <v/>
      </c>
      <c r="X216" s="84" t="str">
        <f t="array" ref="X216">IFERROR(INDEX(DFD!$K$2:$K$1048791,MATCH($Q216,DFD!$B$2:$B$1048791,0)),"")</f>
        <v/>
      </c>
      <c r="Y216" s="84" t="str">
        <f t="array" ref="Y216">IFERROR(INDEX(DFD!$L$2:$L$1048790,MATCH($Q216,DFD!$B$2:$B$1048790,0)),"")</f>
        <v/>
      </c>
      <c r="Z216" s="84">
        <f t="shared" si="10"/>
        <v>45</v>
      </c>
      <c r="AA216" s="59"/>
      <c r="AB216" s="59" t="s">
        <v>78</v>
      </c>
      <c r="AC216" s="59"/>
      <c r="AD216" s="85">
        <v>46043.0</v>
      </c>
      <c r="AE216" s="86">
        <f t="shared" si="8"/>
        <v>1</v>
      </c>
    </row>
    <row r="217" ht="15.75" customHeight="1">
      <c r="A217" s="87" t="s">
        <v>855</v>
      </c>
      <c r="B217" s="87" t="s">
        <v>92</v>
      </c>
      <c r="C217" s="88" t="s">
        <v>856</v>
      </c>
      <c r="D217" s="88" t="s">
        <v>51</v>
      </c>
      <c r="E217" s="88">
        <v>4.0</v>
      </c>
      <c r="F217" s="89">
        <v>224.0</v>
      </c>
      <c r="G217" s="90" t="s">
        <v>53</v>
      </c>
      <c r="H217" s="91">
        <v>46143.0</v>
      </c>
      <c r="I217" s="92" t="s">
        <v>17</v>
      </c>
      <c r="J217" s="92" t="s">
        <v>54</v>
      </c>
      <c r="K217" s="92" t="s">
        <v>66</v>
      </c>
      <c r="L217" s="92" t="s">
        <v>67</v>
      </c>
      <c r="M217" s="90" t="s">
        <v>132</v>
      </c>
      <c r="N217" s="92" t="s">
        <v>5</v>
      </c>
      <c r="O217" s="87" t="s">
        <v>69</v>
      </c>
      <c r="P217" s="87"/>
      <c r="Q217" s="87" t="s">
        <v>113</v>
      </c>
      <c r="R217" s="93" t="s">
        <v>181</v>
      </c>
      <c r="S217" s="87"/>
      <c r="T217" s="87"/>
      <c r="U217" s="94" t="str">
        <f t="array" ref="U217">IFERROR(INDEX(DFD!$D$2:$D$1048791,MATCH($Q217,DFD!$B$2:$B$1048791,0)),"")</f>
        <v/>
      </c>
      <c r="V217" s="94" t="str">
        <f t="array" ref="V217">IFERROR(INDEX(DFD!$F$2:$F$1048791,MATCH($Q217,DFD!$B$2:$B$1048791,0)),"")</f>
        <v/>
      </c>
      <c r="W217" s="97" t="str">
        <f t="array" ref="W217">IFERROR(INDEX(DFD!$E$2:$E$1048791,MATCH($Q217,DFD!$B$2:$B$1048791,0)),"")</f>
        <v/>
      </c>
      <c r="X217" s="97" t="str">
        <f t="array" ref="X217">IFERROR(INDEX(DFD!$K$2:$K$1048791,MATCH($Q217,DFD!$B$2:$B$1048791,0)),"")</f>
        <v/>
      </c>
      <c r="Y217" s="97" t="str">
        <f t="array" ref="Y217">IFERROR(INDEX(DFD!$L$2:$L$1048790,MATCH($Q217,DFD!$B$2:$B$1048790,0)),"")</f>
        <v/>
      </c>
      <c r="Z217" s="97">
        <f t="shared" si="10"/>
        <v>45</v>
      </c>
      <c r="AA217" s="87"/>
      <c r="AB217" s="87" t="s">
        <v>78</v>
      </c>
      <c r="AC217" s="87"/>
      <c r="AD217" s="99">
        <v>46043.0</v>
      </c>
      <c r="AE217" s="100">
        <f t="shared" si="8"/>
        <v>1</v>
      </c>
    </row>
    <row r="218" ht="15.75" customHeight="1">
      <c r="A218" s="59" t="s">
        <v>858</v>
      </c>
      <c r="B218" s="59" t="s">
        <v>80</v>
      </c>
      <c r="C218" s="60" t="s">
        <v>856</v>
      </c>
      <c r="D218" s="60" t="s">
        <v>51</v>
      </c>
      <c r="E218" s="60">
        <v>3.0</v>
      </c>
      <c r="F218" s="72">
        <v>168.0</v>
      </c>
      <c r="G218" s="73" t="s">
        <v>53</v>
      </c>
      <c r="H218" s="74">
        <v>46143.0</v>
      </c>
      <c r="I218" s="67" t="s">
        <v>17</v>
      </c>
      <c r="J218" s="67" t="s">
        <v>54</v>
      </c>
      <c r="K218" s="67" t="s">
        <v>66</v>
      </c>
      <c r="L218" s="67" t="s">
        <v>67</v>
      </c>
      <c r="M218" s="73" t="s">
        <v>132</v>
      </c>
      <c r="N218" s="67" t="s">
        <v>5</v>
      </c>
      <c r="O218" s="67" t="s">
        <v>89</v>
      </c>
      <c r="P218" s="59"/>
      <c r="Q218" s="59" t="s">
        <v>113</v>
      </c>
      <c r="R218" s="76" t="s">
        <v>181</v>
      </c>
      <c r="S218" s="59"/>
      <c r="T218" s="59"/>
      <c r="U218" s="77" t="str">
        <f t="array" ref="U218">IFERROR(INDEX(DFD!$D$2:$D$1048791,MATCH($Q218,DFD!$B$2:$B$1048791,0)),"")</f>
        <v/>
      </c>
      <c r="V218" s="77" t="str">
        <f t="array" ref="V218">IFERROR(INDEX(DFD!$F$2:$F$1048791,MATCH($Q218,DFD!$B$2:$B$1048791,0)),"")</f>
        <v/>
      </c>
      <c r="W218" s="84" t="str">
        <f t="array" ref="W218">IFERROR(INDEX(DFD!$E$2:$E$1048791,MATCH($Q218,DFD!$B$2:$B$1048791,0)),"")</f>
        <v/>
      </c>
      <c r="X218" s="84" t="str">
        <f t="array" ref="X218">IFERROR(INDEX(DFD!$K$2:$K$1048791,MATCH($Q218,DFD!$B$2:$B$1048791,0)),"")</f>
        <v/>
      </c>
      <c r="Y218" s="84" t="str">
        <f t="array" ref="Y218">IFERROR(INDEX(DFD!$L$2:$L$1048790,MATCH($Q218,DFD!$B$2:$B$1048790,0)),"")</f>
        <v/>
      </c>
      <c r="Z218" s="84">
        <f t="shared" si="10"/>
        <v>45</v>
      </c>
      <c r="AA218" s="59"/>
      <c r="AB218" s="59" t="s">
        <v>78</v>
      </c>
      <c r="AC218" s="59"/>
      <c r="AD218" s="85">
        <v>46043.0</v>
      </c>
      <c r="AE218" s="86">
        <f t="shared" si="8"/>
        <v>1</v>
      </c>
    </row>
    <row r="219" ht="15.75" customHeight="1">
      <c r="A219" s="92" t="s">
        <v>859</v>
      </c>
      <c r="B219" s="87" t="s">
        <v>184</v>
      </c>
      <c r="C219" s="88" t="s">
        <v>860</v>
      </c>
      <c r="D219" s="88" t="s">
        <v>51</v>
      </c>
      <c r="E219" s="88">
        <v>10.0</v>
      </c>
      <c r="F219" s="89">
        <v>400.0</v>
      </c>
      <c r="G219" s="90" t="s">
        <v>53</v>
      </c>
      <c r="H219" s="91">
        <v>46174.0</v>
      </c>
      <c r="I219" s="92" t="s">
        <v>17</v>
      </c>
      <c r="J219" s="92" t="s">
        <v>54</v>
      </c>
      <c r="K219" s="92" t="s">
        <v>66</v>
      </c>
      <c r="L219" s="92" t="s">
        <v>67</v>
      </c>
      <c r="M219" s="90" t="s">
        <v>68</v>
      </c>
      <c r="N219" s="92" t="s">
        <v>20</v>
      </c>
      <c r="O219" s="87" t="s">
        <v>69</v>
      </c>
      <c r="P219" s="87"/>
      <c r="Q219" s="87" t="s">
        <v>286</v>
      </c>
      <c r="R219" s="93" t="s">
        <v>287</v>
      </c>
      <c r="S219" s="87"/>
      <c r="T219" s="87"/>
      <c r="U219" s="94" t="str">
        <f t="array" ref="U219">IFERROR(INDEX(DFD!$D$2:$D$1048791,MATCH($Q219,DFD!$B$2:$B$1048791,0)),"")</f>
        <v/>
      </c>
      <c r="V219" s="94" t="str">
        <f t="array" ref="V219">IFERROR(INDEX(DFD!$F$2:$F$1048791,MATCH($Q219,DFD!$B$2:$B$1048791,0)),"")</f>
        <v/>
      </c>
      <c r="W219" s="97" t="str">
        <f t="array" ref="W219">IFERROR(INDEX(DFD!$E$2:$E$1048791,MATCH($Q219,DFD!$B$2:$B$1048791,0)),"")</f>
        <v/>
      </c>
      <c r="X219" s="97" t="str">
        <f t="array" ref="X219">IFERROR(INDEX(DFD!$K$2:$K$1048791,MATCH($Q219,DFD!$B$2:$B$1048791,0)),"")</f>
        <v/>
      </c>
      <c r="Y219" s="97" t="str">
        <f t="array" ref="Y219">IFERROR(INDEX(DFD!$L$2:$L$1048790,MATCH($Q219,DFD!$B$2:$B$1048790,0)),"")</f>
        <v/>
      </c>
      <c r="Z219" s="97">
        <f t="shared" si="10"/>
        <v>45</v>
      </c>
      <c r="AA219" s="87"/>
      <c r="AB219" s="87" t="s">
        <v>288</v>
      </c>
      <c r="AC219" s="87"/>
      <c r="AD219" s="99">
        <v>46043.0</v>
      </c>
      <c r="AE219" s="100">
        <f t="shared" si="8"/>
        <v>1</v>
      </c>
    </row>
    <row r="220" ht="15.75" customHeight="1">
      <c r="A220" s="67" t="s">
        <v>863</v>
      </c>
      <c r="B220" s="59" t="s">
        <v>184</v>
      </c>
      <c r="C220" s="60" t="s">
        <v>864</v>
      </c>
      <c r="D220" s="60" t="s">
        <v>51</v>
      </c>
      <c r="E220" s="60">
        <v>48.0</v>
      </c>
      <c r="F220" s="72">
        <v>283.2</v>
      </c>
      <c r="G220" s="73" t="s">
        <v>53</v>
      </c>
      <c r="H220" s="74">
        <v>46143.0</v>
      </c>
      <c r="I220" s="67" t="s">
        <v>17</v>
      </c>
      <c r="J220" s="67" t="s">
        <v>54</v>
      </c>
      <c r="K220" s="67" t="s">
        <v>66</v>
      </c>
      <c r="L220" s="67" t="s">
        <v>67</v>
      </c>
      <c r="M220" s="73" t="s">
        <v>68</v>
      </c>
      <c r="N220" s="67" t="s">
        <v>20</v>
      </c>
      <c r="O220" s="59" t="s">
        <v>69</v>
      </c>
      <c r="P220" s="59"/>
      <c r="Q220" s="59" t="s">
        <v>286</v>
      </c>
      <c r="R220" s="76" t="s">
        <v>287</v>
      </c>
      <c r="S220" s="59"/>
      <c r="T220" s="59"/>
      <c r="U220" s="77" t="str">
        <f t="array" ref="U220">IFERROR(INDEX(DFD!$D$2:$D$1048791,MATCH($Q220,DFD!$B$2:$B$1048791,0)),"")</f>
        <v/>
      </c>
      <c r="V220" s="77" t="str">
        <f t="array" ref="V220">IFERROR(INDEX(DFD!$F$2:$F$1048791,MATCH($Q220,DFD!$B$2:$B$1048791,0)),"")</f>
        <v/>
      </c>
      <c r="W220" s="84" t="str">
        <f t="array" ref="W220">IFERROR(INDEX(DFD!$E$2:$E$1048791,MATCH($Q220,DFD!$B$2:$B$1048791,0)),"")</f>
        <v/>
      </c>
      <c r="X220" s="84" t="str">
        <f t="array" ref="X220">IFERROR(INDEX(DFD!$K$2:$K$1048791,MATCH($Q220,DFD!$B$2:$B$1048791,0)),"")</f>
        <v/>
      </c>
      <c r="Y220" s="84" t="str">
        <f t="array" ref="Y220">IFERROR(INDEX(DFD!$L$2:$L$1048790,MATCH($Q220,DFD!$B$2:$B$1048790,0)),"")</f>
        <v/>
      </c>
      <c r="Z220" s="84">
        <f t="shared" si="10"/>
        <v>45</v>
      </c>
      <c r="AA220" s="59"/>
      <c r="AB220" s="59" t="s">
        <v>288</v>
      </c>
      <c r="AC220" s="59"/>
      <c r="AD220" s="85">
        <v>46043.0</v>
      </c>
      <c r="AE220" s="86">
        <f t="shared" si="8"/>
        <v>1</v>
      </c>
    </row>
    <row r="221" ht="15.75" customHeight="1">
      <c r="A221" s="87" t="s">
        <v>866</v>
      </c>
      <c r="B221" s="87" t="s">
        <v>277</v>
      </c>
      <c r="C221" s="88" t="s">
        <v>867</v>
      </c>
      <c r="D221" s="88" t="s">
        <v>51</v>
      </c>
      <c r="E221" s="88">
        <v>25.0</v>
      </c>
      <c r="F221" s="89">
        <v>200.0</v>
      </c>
      <c r="G221" s="90" t="s">
        <v>53</v>
      </c>
      <c r="H221" s="91">
        <v>46143.0</v>
      </c>
      <c r="I221" s="92" t="s">
        <v>17</v>
      </c>
      <c r="J221" s="92" t="s">
        <v>54</v>
      </c>
      <c r="K221" s="92" t="s">
        <v>66</v>
      </c>
      <c r="L221" s="92" t="s">
        <v>67</v>
      </c>
      <c r="M221" s="90" t="s">
        <v>68</v>
      </c>
      <c r="N221" s="92" t="s">
        <v>5</v>
      </c>
      <c r="O221" s="92" t="s">
        <v>89</v>
      </c>
      <c r="P221" s="87"/>
      <c r="Q221" s="87" t="s">
        <v>286</v>
      </c>
      <c r="R221" s="93" t="s">
        <v>287</v>
      </c>
      <c r="S221" s="87"/>
      <c r="T221" s="87"/>
      <c r="U221" s="94" t="str">
        <f t="array" ref="U221">IFERROR(INDEX(DFD!$D$2:$D$1048791,MATCH($Q221,DFD!$B$2:$B$1048791,0)),"")</f>
        <v/>
      </c>
      <c r="V221" s="94" t="str">
        <f t="array" ref="V221">IFERROR(INDEX(DFD!$F$2:$F$1048791,MATCH($Q221,DFD!$B$2:$B$1048791,0)),"")</f>
        <v/>
      </c>
      <c r="W221" s="97" t="str">
        <f t="array" ref="W221">IFERROR(INDEX(DFD!$E$2:$E$1048791,MATCH($Q221,DFD!$B$2:$B$1048791,0)),"")</f>
        <v/>
      </c>
      <c r="X221" s="97" t="str">
        <f t="array" ref="X221">IFERROR(INDEX(DFD!$K$2:$K$1048791,MATCH($Q221,DFD!$B$2:$B$1048791,0)),"")</f>
        <v/>
      </c>
      <c r="Y221" s="97" t="str">
        <f t="array" ref="Y221">IFERROR(INDEX(DFD!$L$2:$L$1048790,MATCH($Q221,DFD!$B$2:$B$1048790,0)),"")</f>
        <v/>
      </c>
      <c r="Z221" s="97">
        <f t="shared" si="10"/>
        <v>45</v>
      </c>
      <c r="AA221" s="87"/>
      <c r="AB221" s="87" t="s">
        <v>288</v>
      </c>
      <c r="AC221" s="87"/>
      <c r="AD221" s="99">
        <v>46043.0</v>
      </c>
      <c r="AE221" s="100">
        <f t="shared" si="8"/>
        <v>1</v>
      </c>
    </row>
    <row r="222" ht="15.75" customHeight="1">
      <c r="A222" s="59" t="s">
        <v>869</v>
      </c>
      <c r="B222" s="59" t="s">
        <v>355</v>
      </c>
      <c r="C222" s="60" t="s">
        <v>870</v>
      </c>
      <c r="D222" s="60" t="s">
        <v>51</v>
      </c>
      <c r="E222" s="60">
        <v>50.0</v>
      </c>
      <c r="F222" s="72">
        <v>3000.0</v>
      </c>
      <c r="G222" s="73" t="s">
        <v>53</v>
      </c>
      <c r="H222" s="74">
        <v>46174.0</v>
      </c>
      <c r="I222" s="67" t="s">
        <v>17</v>
      </c>
      <c r="J222" s="67" t="s">
        <v>54</v>
      </c>
      <c r="K222" s="67" t="s">
        <v>66</v>
      </c>
      <c r="L222" s="67" t="s">
        <v>56</v>
      </c>
      <c r="M222" s="73" t="s">
        <v>132</v>
      </c>
      <c r="N222" s="67" t="s">
        <v>58</v>
      </c>
      <c r="O222" s="59" t="s">
        <v>69</v>
      </c>
      <c r="P222" s="59"/>
      <c r="Q222" s="59" t="s">
        <v>52</v>
      </c>
      <c r="R222" s="76" t="s">
        <v>181</v>
      </c>
      <c r="S222" s="59"/>
      <c r="T222" s="59"/>
      <c r="U222" s="77" t="str">
        <f t="array" ref="U222">IFERROR(INDEX(DFD!$D$2:$D$1048791,MATCH($Q222,DFD!$B$2:$B$1048791,0)),"")</f>
        <v/>
      </c>
      <c r="V222" s="77" t="str">
        <f t="array" ref="V222">IFERROR(INDEX(DFD!$F$2:$F$1048791,MATCH($Q222,DFD!$B$2:$B$1048791,0)),"")</f>
        <v/>
      </c>
      <c r="W222" s="84" t="str">
        <f t="array" ref="W222">IFERROR(INDEX(DFD!$E$2:$E$1048791,MATCH($Q222,DFD!$B$2:$B$1048791,0)),"")</f>
        <v/>
      </c>
      <c r="X222" s="84" t="str">
        <f t="array" ref="X222">IFERROR(INDEX(DFD!$K$2:$K$1048791,MATCH($Q222,DFD!$B$2:$B$1048791,0)),"")</f>
        <v/>
      </c>
      <c r="Y222" s="84" t="str">
        <f t="array" ref="Y222">IFERROR(INDEX(DFD!$L$2:$L$1048790,MATCH($Q222,DFD!$B$2:$B$1048790,0)),"")</f>
        <v/>
      </c>
      <c r="Z222" s="84">
        <f t="shared" si="10"/>
        <v>45</v>
      </c>
      <c r="AA222" s="59"/>
      <c r="AB222" s="59" t="s">
        <v>72</v>
      </c>
      <c r="AC222" s="59"/>
      <c r="AD222" s="85">
        <v>46043.0</v>
      </c>
      <c r="AE222" s="86">
        <f t="shared" si="8"/>
        <v>1</v>
      </c>
    </row>
    <row r="223" ht="15.75" customHeight="1">
      <c r="A223" s="92" t="s">
        <v>873</v>
      </c>
      <c r="B223" s="87" t="s">
        <v>184</v>
      </c>
      <c r="C223" s="88" t="s">
        <v>874</v>
      </c>
      <c r="D223" s="116" t="s">
        <v>51</v>
      </c>
      <c r="E223" s="116">
        <v>12.0</v>
      </c>
      <c r="F223" s="89">
        <v>420.0</v>
      </c>
      <c r="G223" s="90" t="s">
        <v>53</v>
      </c>
      <c r="H223" s="91">
        <v>46031.0</v>
      </c>
      <c r="I223" s="92" t="s">
        <v>17</v>
      </c>
      <c r="J223" s="92" t="s">
        <v>54</v>
      </c>
      <c r="K223" s="92" t="s">
        <v>372</v>
      </c>
      <c r="L223" s="92" t="s">
        <v>67</v>
      </c>
      <c r="M223" s="90" t="s">
        <v>104</v>
      </c>
      <c r="N223" s="92" t="s">
        <v>20</v>
      </c>
      <c r="O223" s="87" t="s">
        <v>69</v>
      </c>
      <c r="P223" s="87"/>
      <c r="Q223" s="87" t="s">
        <v>113</v>
      </c>
      <c r="R223" s="93" t="s">
        <v>718</v>
      </c>
      <c r="S223" s="87"/>
      <c r="T223" s="87"/>
      <c r="U223" s="94" t="str">
        <f t="array" ref="U223">IFERROR(INDEX(DFD!$D$2:$D$1048791,MATCH($Q223,DFD!$B$2:$B$1048791,0)),"")</f>
        <v/>
      </c>
      <c r="V223" s="94" t="str">
        <f t="array" ref="V223">IFERROR(INDEX(DFD!$F$2:$F$1048791,MATCH($Q223,DFD!$B$2:$B$1048791,0)),"")</f>
        <v/>
      </c>
      <c r="W223" s="97" t="str">
        <f t="array" ref="W223">IFERROR(INDEX(DFD!$E$2:$E$1048791,MATCH($Q223,DFD!$B$2:$B$1048791,0)),"")</f>
        <v/>
      </c>
      <c r="X223" s="97" t="str">
        <f t="array" ref="X223">IFERROR(INDEX(DFD!$K$2:$K$1048791,MATCH($Q223,DFD!$B$2:$B$1048791,0)),"")</f>
        <v/>
      </c>
      <c r="Y223" s="97" t="str">
        <f t="array" ref="Y223">IFERROR(INDEX(DFD!$L$2:$L$1048790,MATCH($Q223,DFD!$B$2:$B$1048790,0)),"")</f>
        <v/>
      </c>
      <c r="Z223" s="97">
        <f t="shared" si="10"/>
        <v>45</v>
      </c>
      <c r="AA223" s="87" t="s">
        <v>746</v>
      </c>
      <c r="AB223" s="87" t="s">
        <v>78</v>
      </c>
      <c r="AC223" s="87"/>
      <c r="AD223" s="99">
        <v>46043.0</v>
      </c>
      <c r="AE223" s="100">
        <f t="shared" si="8"/>
        <v>1</v>
      </c>
    </row>
    <row r="224" ht="15.75" customHeight="1">
      <c r="A224" s="67" t="s">
        <v>876</v>
      </c>
      <c r="B224" s="59" t="s">
        <v>184</v>
      </c>
      <c r="C224" s="60" t="s">
        <v>877</v>
      </c>
      <c r="D224" s="60" t="s">
        <v>51</v>
      </c>
      <c r="E224" s="60">
        <v>30.0</v>
      </c>
      <c r="F224" s="72">
        <v>258.0</v>
      </c>
      <c r="G224" s="73" t="s">
        <v>53</v>
      </c>
      <c r="H224" s="74">
        <v>46143.0</v>
      </c>
      <c r="I224" s="67" t="s">
        <v>17</v>
      </c>
      <c r="J224" s="67" t="s">
        <v>54</v>
      </c>
      <c r="K224" s="67" t="s">
        <v>66</v>
      </c>
      <c r="L224" s="67" t="s">
        <v>67</v>
      </c>
      <c r="M224" s="73" t="s">
        <v>112</v>
      </c>
      <c r="N224" s="67" t="s">
        <v>20</v>
      </c>
      <c r="O224" s="67" t="s">
        <v>89</v>
      </c>
      <c r="P224" s="59"/>
      <c r="Q224" s="59" t="s">
        <v>491</v>
      </c>
      <c r="R224" s="76" t="s">
        <v>269</v>
      </c>
      <c r="S224" s="59"/>
      <c r="T224" s="59"/>
      <c r="U224" s="77" t="str">
        <f t="array" ref="U224">IFERROR(INDEX(DFD!$D$2:$D$1048791,MATCH($Q224,DFD!$B$2:$B$1048791,0)),"")</f>
        <v/>
      </c>
      <c r="V224" s="77" t="str">
        <f t="array" ref="V224">IFERROR(INDEX(DFD!$F$2:$F$1048791,MATCH($Q224,DFD!$B$2:$B$1048791,0)),"")</f>
        <v/>
      </c>
      <c r="W224" s="84" t="str">
        <f t="array" ref="W224">IFERROR(INDEX(DFD!$E$2:$E$1048791,MATCH($Q224,DFD!$B$2:$B$1048791,0)),"")</f>
        <v/>
      </c>
      <c r="X224" s="84" t="str">
        <f t="array" ref="X224">IFERROR(INDEX(DFD!$K$2:$K$1048791,MATCH($Q224,DFD!$B$2:$B$1048791,0)),"")</f>
        <v/>
      </c>
      <c r="Y224" s="84" t="str">
        <f t="array" ref="Y224">IFERROR(INDEX(DFD!$L$2:$L$1048790,MATCH($Q224,DFD!$B$2:$B$1048790,0)),"")</f>
        <v/>
      </c>
      <c r="Z224" s="84">
        <f t="shared" si="10"/>
        <v>45</v>
      </c>
      <c r="AA224" s="59"/>
      <c r="AB224" s="59" t="s">
        <v>78</v>
      </c>
      <c r="AC224" s="59"/>
      <c r="AD224" s="85">
        <v>46043.0</v>
      </c>
      <c r="AE224" s="86">
        <f t="shared" si="8"/>
        <v>1</v>
      </c>
    </row>
    <row r="225" ht="15.75" customHeight="1">
      <c r="A225" s="87" t="s">
        <v>879</v>
      </c>
      <c r="B225" s="87" t="s">
        <v>52</v>
      </c>
      <c r="C225" s="88" t="s">
        <v>880</v>
      </c>
      <c r="D225" s="88" t="s">
        <v>51</v>
      </c>
      <c r="E225" s="88">
        <v>1.0</v>
      </c>
      <c r="F225" s="89">
        <v>400.0</v>
      </c>
      <c r="G225" s="90" t="s">
        <v>53</v>
      </c>
      <c r="H225" s="91">
        <v>46174.0</v>
      </c>
      <c r="I225" s="92" t="s">
        <v>17</v>
      </c>
      <c r="J225" s="92" t="s">
        <v>54</v>
      </c>
      <c r="K225" s="92" t="s">
        <v>66</v>
      </c>
      <c r="L225" s="92" t="s">
        <v>56</v>
      </c>
      <c r="M225" s="90" t="s">
        <v>167</v>
      </c>
      <c r="N225" s="92" t="s">
        <v>58</v>
      </c>
      <c r="O225" s="87" t="s">
        <v>69</v>
      </c>
      <c r="P225" s="87"/>
      <c r="Q225" s="87" t="s">
        <v>52</v>
      </c>
      <c r="R225" s="93" t="s">
        <v>164</v>
      </c>
      <c r="S225" s="87"/>
      <c r="T225" s="87"/>
      <c r="U225" s="94" t="str">
        <f t="array" ref="U225">IFERROR(INDEX(DFD!$D$2:$D$1048791,MATCH($Q225,DFD!$B$2:$B$1048791,0)),"")</f>
        <v/>
      </c>
      <c r="V225" s="94" t="str">
        <f t="array" ref="V225">IFERROR(INDEX(DFD!$F$2:$F$1048791,MATCH($Q225,DFD!$B$2:$B$1048791,0)),"")</f>
        <v/>
      </c>
      <c r="W225" s="97" t="str">
        <f t="array" ref="W225">IFERROR(INDEX(DFD!$E$2:$E$1048791,MATCH($Q225,DFD!$B$2:$B$1048791,0)),"")</f>
        <v/>
      </c>
      <c r="X225" s="97" t="str">
        <f t="array" ref="X225">IFERROR(INDEX(DFD!$K$2:$K$1048791,MATCH($Q225,DFD!$B$2:$B$1048791,0)),"")</f>
        <v/>
      </c>
      <c r="Y225" s="97" t="str">
        <f t="array" ref="Y225">IFERROR(INDEX(DFD!$L$2:$L$1048790,MATCH($Q225,DFD!$B$2:$B$1048790,0)),"")</f>
        <v/>
      </c>
      <c r="Z225" s="97">
        <f t="shared" si="10"/>
        <v>45</v>
      </c>
      <c r="AA225" s="87"/>
      <c r="AB225" s="87" t="s">
        <v>72</v>
      </c>
      <c r="AC225" s="87"/>
      <c r="AD225" s="99">
        <v>46043.0</v>
      </c>
      <c r="AE225" s="100">
        <f t="shared" si="8"/>
        <v>1</v>
      </c>
    </row>
    <row r="226" ht="15.75" customHeight="1">
      <c r="A226" s="59" t="s">
        <v>882</v>
      </c>
      <c r="B226" s="59" t="s">
        <v>49</v>
      </c>
      <c r="C226" s="60" t="s">
        <v>558</v>
      </c>
      <c r="D226" s="60" t="s">
        <v>51</v>
      </c>
      <c r="E226" s="60">
        <v>250.0</v>
      </c>
      <c r="F226" s="72">
        <v>36000.0</v>
      </c>
      <c r="G226" s="73" t="s">
        <v>53</v>
      </c>
      <c r="H226" s="74">
        <v>46235.0</v>
      </c>
      <c r="I226" s="67" t="s">
        <v>17</v>
      </c>
      <c r="J226" s="67" t="s">
        <v>54</v>
      </c>
      <c r="K226" s="67" t="s">
        <v>66</v>
      </c>
      <c r="L226" s="67" t="s">
        <v>56</v>
      </c>
      <c r="M226" s="73" t="s">
        <v>132</v>
      </c>
      <c r="N226" s="67" t="s">
        <v>58</v>
      </c>
      <c r="O226" s="59" t="s">
        <v>69</v>
      </c>
      <c r="P226" s="59"/>
      <c r="Q226" s="59" t="s">
        <v>133</v>
      </c>
      <c r="R226" s="76" t="s">
        <v>134</v>
      </c>
      <c r="S226" s="59"/>
      <c r="T226" s="59"/>
      <c r="U226" s="77" t="str">
        <f t="array" ref="U226">IFERROR(INDEX(DFD!$D$2:$D$1048791,MATCH($Q226,DFD!$B$2:$B$1048791,0)),"")</f>
        <v/>
      </c>
      <c r="V226" s="77" t="s">
        <v>62</v>
      </c>
      <c r="W226" s="84" t="str">
        <f t="array" ref="W226">IFERROR(INDEX(DFD!$E$2:$E$1048791,MATCH($Q226,DFD!$B$2:$B$1048791,0)),"")</f>
        <v/>
      </c>
      <c r="X226" s="84" t="str">
        <f t="array" ref="X226">IFERROR(INDEX(DFD!$K$2:$K$1048791,MATCH($Q226,DFD!$B$2:$B$1048791,0)),"")</f>
        <v/>
      </c>
      <c r="Y226" s="84" t="str">
        <f t="array" ref="Y226">IFERROR(INDEX(DFD!$L$2:$L$1048790,MATCH($Q226,DFD!$B$2:$B$1048790,0)),"")</f>
        <v/>
      </c>
      <c r="Z226" s="84">
        <f t="shared" si="10"/>
        <v>45</v>
      </c>
      <c r="AA226" s="59"/>
      <c r="AB226" s="59" t="s">
        <v>78</v>
      </c>
      <c r="AC226" s="59"/>
      <c r="AD226" s="85">
        <v>46043.0</v>
      </c>
      <c r="AE226" s="86">
        <f t="shared" si="8"/>
        <v>1</v>
      </c>
    </row>
    <row r="227" ht="15.75" customHeight="1">
      <c r="A227" s="92" t="s">
        <v>885</v>
      </c>
      <c r="B227" s="87" t="s">
        <v>184</v>
      </c>
      <c r="C227" s="88" t="s">
        <v>886</v>
      </c>
      <c r="D227" s="88" t="s">
        <v>51</v>
      </c>
      <c r="E227" s="88">
        <v>80.0</v>
      </c>
      <c r="F227" s="89">
        <v>3360.0</v>
      </c>
      <c r="G227" s="90" t="s">
        <v>53</v>
      </c>
      <c r="H227" s="91">
        <v>46174.0</v>
      </c>
      <c r="I227" s="92" t="s">
        <v>17</v>
      </c>
      <c r="J227" s="92" t="s">
        <v>54</v>
      </c>
      <c r="K227" s="92" t="s">
        <v>66</v>
      </c>
      <c r="L227" s="92" t="s">
        <v>67</v>
      </c>
      <c r="M227" s="90" t="s">
        <v>68</v>
      </c>
      <c r="N227" s="92" t="s">
        <v>20</v>
      </c>
      <c r="O227" s="92" t="s">
        <v>89</v>
      </c>
      <c r="P227" s="87"/>
      <c r="Q227" s="87" t="s">
        <v>887</v>
      </c>
      <c r="R227" s="93" t="s">
        <v>373</v>
      </c>
      <c r="S227" s="87"/>
      <c r="T227" s="87"/>
      <c r="U227" s="94" t="str">
        <f t="array" ref="U227">IFERROR(INDEX(DFD!$D$2:$D$1048791,MATCH($Q227,DFD!$B$2:$B$1048791,0)),"")</f>
        <v/>
      </c>
      <c r="V227" s="94" t="str">
        <f t="array" ref="V227">IFERROR(INDEX(DFD!$F$2:$F$1048791,MATCH($Q227,DFD!$B$2:$B$1048791,0)),"")</f>
        <v/>
      </c>
      <c r="W227" s="97" t="str">
        <f t="array" ref="W227">IFERROR(INDEX(DFD!$E$2:$E$1048791,MATCH($Q227,DFD!$B$2:$B$1048791,0)),"")</f>
        <v/>
      </c>
      <c r="X227" s="97" t="str">
        <f t="array" ref="X227">IFERROR(INDEX(DFD!$K$2:$K$1048791,MATCH($Q227,DFD!$B$2:$B$1048791,0)),"")</f>
        <v/>
      </c>
      <c r="Y227" s="97" t="str">
        <f t="array" ref="Y227">IFERROR(INDEX(DFD!$L$2:$L$1048790,MATCH($Q227,DFD!$B$2:$B$1048790,0)),"")</f>
        <v/>
      </c>
      <c r="Z227" s="97">
        <f t="shared" si="10"/>
        <v>45</v>
      </c>
      <c r="AA227" s="87"/>
      <c r="AB227" s="87" t="s">
        <v>78</v>
      </c>
      <c r="AC227" s="87"/>
      <c r="AD227" s="99">
        <v>46043.0</v>
      </c>
      <c r="AE227" s="100">
        <f t="shared" si="8"/>
        <v>1</v>
      </c>
    </row>
    <row r="228" ht="15.75" customHeight="1">
      <c r="A228" s="59" t="s">
        <v>890</v>
      </c>
      <c r="B228" s="59" t="s">
        <v>81</v>
      </c>
      <c r="C228" s="60" t="s">
        <v>891</v>
      </c>
      <c r="D228" s="60" t="s">
        <v>51</v>
      </c>
      <c r="E228" s="60">
        <v>3.0</v>
      </c>
      <c r="F228" s="72">
        <v>900.0</v>
      </c>
      <c r="G228" s="73" t="s">
        <v>53</v>
      </c>
      <c r="H228" s="74">
        <v>46174.0</v>
      </c>
      <c r="I228" s="67" t="s">
        <v>17</v>
      </c>
      <c r="J228" s="67" t="s">
        <v>54</v>
      </c>
      <c r="K228" s="67" t="s">
        <v>66</v>
      </c>
      <c r="L228" s="67" t="s">
        <v>67</v>
      </c>
      <c r="M228" s="73" t="s">
        <v>112</v>
      </c>
      <c r="N228" s="67" t="s">
        <v>5</v>
      </c>
      <c r="O228" s="59" t="s">
        <v>69</v>
      </c>
      <c r="P228" s="59"/>
      <c r="Q228" s="59" t="s">
        <v>892</v>
      </c>
      <c r="R228" s="76" t="s">
        <v>114</v>
      </c>
      <c r="S228" s="59"/>
      <c r="T228" s="59"/>
      <c r="U228" s="77" t="str">
        <f t="array" ref="U228">IFERROR(INDEX(DFD!$D$2:$D$1048791,MATCH($Q228,DFD!$B$2:$B$1048791,0)),"")</f>
        <v/>
      </c>
      <c r="V228" s="77" t="str">
        <f t="array" ref="V228">IFERROR(INDEX(DFD!$F$2:$F$1048791,MATCH($Q228,DFD!$B$2:$B$1048791,0)),"")</f>
        <v/>
      </c>
      <c r="W228" s="84" t="str">
        <f t="array" ref="W228">IFERROR(INDEX(DFD!$E$2:$E$1048791,MATCH($Q228,DFD!$B$2:$B$1048791,0)),"")</f>
        <v/>
      </c>
      <c r="X228" s="84" t="str">
        <f t="array" ref="X228">IFERROR(INDEX(DFD!$K$2:$K$1048791,MATCH($Q228,DFD!$B$2:$B$1048791,0)),"")</f>
        <v/>
      </c>
      <c r="Y228" s="84" t="str">
        <f t="array" ref="Y228">IFERROR(INDEX(DFD!$L$2:$L$1048790,MATCH($Q228,DFD!$B$2:$B$1048790,0)),"")</f>
        <v/>
      </c>
      <c r="Z228" s="84">
        <f t="shared" si="10"/>
        <v>45</v>
      </c>
      <c r="AA228" s="59"/>
      <c r="AB228" s="59" t="s">
        <v>78</v>
      </c>
      <c r="AC228" s="59"/>
      <c r="AD228" s="85">
        <v>46043.0</v>
      </c>
      <c r="AE228" s="86">
        <f t="shared" si="8"/>
        <v>1</v>
      </c>
    </row>
    <row r="229" ht="15.75" customHeight="1">
      <c r="A229" s="92" t="s">
        <v>894</v>
      </c>
      <c r="B229" s="87" t="s">
        <v>184</v>
      </c>
      <c r="C229" s="88" t="s">
        <v>895</v>
      </c>
      <c r="D229" s="116" t="s">
        <v>51</v>
      </c>
      <c r="E229" s="116">
        <v>1.0</v>
      </c>
      <c r="F229" s="137">
        <v>3500.0</v>
      </c>
      <c r="G229" s="90" t="s">
        <v>53</v>
      </c>
      <c r="H229" s="118">
        <v>46266.0</v>
      </c>
      <c r="I229" s="92" t="s">
        <v>17</v>
      </c>
      <c r="J229" s="92" t="s">
        <v>54</v>
      </c>
      <c r="K229" s="92" t="s">
        <v>66</v>
      </c>
      <c r="L229" s="92" t="s">
        <v>56</v>
      </c>
      <c r="M229" s="90" t="s">
        <v>68</v>
      </c>
      <c r="N229" s="92" t="s">
        <v>20</v>
      </c>
      <c r="O229" s="87" t="s">
        <v>69</v>
      </c>
      <c r="P229" s="87"/>
      <c r="Q229" s="87" t="s">
        <v>896</v>
      </c>
      <c r="R229" s="93" t="s">
        <v>71</v>
      </c>
      <c r="S229" s="87"/>
      <c r="T229" s="87"/>
      <c r="U229" s="94" t="str">
        <f t="array" ref="U229">IFERROR(INDEX(DFD!$D$2:$D$1048791,MATCH($Q229,DFD!$B$2:$B$1048791,0)),"")</f>
        <v/>
      </c>
      <c r="V229" s="94" t="s">
        <v>280</v>
      </c>
      <c r="W229" s="97" t="str">
        <f t="array" ref="W229">IFERROR(INDEX(DFD!$E$2:$E$1048791,MATCH($Q229,DFD!$B$2:$B$1048791,0)),"")</f>
        <v/>
      </c>
      <c r="X229" s="97" t="str">
        <f t="array" ref="X229">IFERROR(INDEX(DFD!$K$2:$K$1048791,MATCH($Q229,DFD!$B$2:$B$1048791,0)),"")</f>
        <v/>
      </c>
      <c r="Y229" s="97" t="str">
        <f t="array" ref="Y229">IFERROR(INDEX(DFD!$L$2:$L$1048790,MATCH($Q229,DFD!$B$2:$B$1048790,0)),"")</f>
        <v/>
      </c>
      <c r="Z229" s="97">
        <f t="shared" si="10"/>
        <v>45</v>
      </c>
      <c r="AA229" s="87"/>
      <c r="AB229" s="87" t="s">
        <v>78</v>
      </c>
      <c r="AC229" s="87"/>
      <c r="AD229" s="99">
        <v>46043.0</v>
      </c>
      <c r="AE229" s="100">
        <f t="shared" si="8"/>
        <v>1</v>
      </c>
    </row>
    <row r="230" ht="15.75" customHeight="1">
      <c r="A230" s="59" t="s">
        <v>898</v>
      </c>
      <c r="B230" s="71" t="s">
        <v>184</v>
      </c>
      <c r="C230" s="60" t="s">
        <v>899</v>
      </c>
      <c r="D230" s="81" t="s">
        <v>51</v>
      </c>
      <c r="E230" s="81">
        <v>30.0</v>
      </c>
      <c r="F230" s="101">
        <v>75000.0</v>
      </c>
      <c r="G230" s="73" t="s">
        <v>53</v>
      </c>
      <c r="H230" s="83">
        <v>46266.0</v>
      </c>
      <c r="I230" s="67" t="s">
        <v>17</v>
      </c>
      <c r="J230" s="67" t="s">
        <v>54</v>
      </c>
      <c r="K230" s="67" t="s">
        <v>66</v>
      </c>
      <c r="L230" s="67" t="s">
        <v>56</v>
      </c>
      <c r="M230" s="73" t="s">
        <v>68</v>
      </c>
      <c r="N230" s="67" t="s">
        <v>58</v>
      </c>
      <c r="O230" s="67" t="s">
        <v>89</v>
      </c>
      <c r="P230" s="59"/>
      <c r="Q230" s="59" t="s">
        <v>896</v>
      </c>
      <c r="R230" s="76" t="s">
        <v>71</v>
      </c>
      <c r="S230" s="59"/>
      <c r="T230" s="59"/>
      <c r="U230" s="77" t="str">
        <f t="array" ref="U230">IFERROR(INDEX(DFD!$D$2:$D$1048791,MATCH($Q230,DFD!$B$2:$B$1048791,0)),"")</f>
        <v/>
      </c>
      <c r="V230" s="77" t="s">
        <v>280</v>
      </c>
      <c r="W230" s="84" t="str">
        <f t="array" ref="W230">IFERROR(INDEX(DFD!$E$2:$E$1048791,MATCH($Q230,DFD!$B$2:$B$1048791,0)),"")</f>
        <v/>
      </c>
      <c r="X230" s="84" t="str">
        <f t="array" ref="X230">IFERROR(INDEX(DFD!$K$2:$K$1048791,MATCH($Q230,DFD!$B$2:$B$1048791,0)),"")</f>
        <v/>
      </c>
      <c r="Y230" s="84" t="str">
        <f t="array" ref="Y230">IFERROR(INDEX(DFD!$L$2:$L$1048790,MATCH($Q230,DFD!$B$2:$B$1048790,0)),"")</f>
        <v/>
      </c>
      <c r="Z230" s="84">
        <f t="shared" si="10"/>
        <v>45</v>
      </c>
      <c r="AA230" s="59"/>
      <c r="AB230" s="59" t="s">
        <v>78</v>
      </c>
      <c r="AC230" s="59"/>
      <c r="AD230" s="85">
        <v>46043.0</v>
      </c>
      <c r="AE230" s="86">
        <f t="shared" si="8"/>
        <v>1</v>
      </c>
    </row>
    <row r="231" ht="15.75" customHeight="1">
      <c r="A231" s="92" t="s">
        <v>900</v>
      </c>
      <c r="B231" s="87" t="s">
        <v>184</v>
      </c>
      <c r="C231" s="88" t="s">
        <v>901</v>
      </c>
      <c r="D231" s="116" t="s">
        <v>51</v>
      </c>
      <c r="E231" s="116">
        <v>60.0</v>
      </c>
      <c r="F231" s="137">
        <v>82685.3</v>
      </c>
      <c r="G231" s="90" t="s">
        <v>53</v>
      </c>
      <c r="H231" s="118">
        <v>46266.0</v>
      </c>
      <c r="I231" s="92" t="s">
        <v>17</v>
      </c>
      <c r="J231" s="92" t="s">
        <v>54</v>
      </c>
      <c r="K231" s="92" t="s">
        <v>66</v>
      </c>
      <c r="L231" s="92" t="s">
        <v>56</v>
      </c>
      <c r="M231" s="90" t="s">
        <v>68</v>
      </c>
      <c r="N231" s="92" t="s">
        <v>20</v>
      </c>
      <c r="O231" s="87" t="s">
        <v>69</v>
      </c>
      <c r="P231" s="87"/>
      <c r="Q231" s="87" t="s">
        <v>896</v>
      </c>
      <c r="R231" s="93" t="s">
        <v>71</v>
      </c>
      <c r="S231" s="87"/>
      <c r="T231" s="87"/>
      <c r="U231" s="94" t="str">
        <f t="array" ref="U231">IFERROR(INDEX(DFD!$D$2:$D$1048791,MATCH($Q231,DFD!$B$2:$B$1048791,0)),"")</f>
        <v/>
      </c>
      <c r="V231" s="94" t="s">
        <v>280</v>
      </c>
      <c r="W231" s="97" t="str">
        <f t="array" ref="W231">IFERROR(INDEX(DFD!$E$2:$E$1048791,MATCH($Q231,DFD!$B$2:$B$1048791,0)),"")</f>
        <v/>
      </c>
      <c r="X231" s="97" t="str">
        <f t="array" ref="X231">IFERROR(INDEX(DFD!$K$2:$K$1048791,MATCH($Q231,DFD!$B$2:$B$1048791,0)),"")</f>
        <v/>
      </c>
      <c r="Y231" s="97" t="str">
        <f t="array" ref="Y231">IFERROR(INDEX(DFD!$L$2:$L$1048790,MATCH($Q231,DFD!$B$2:$B$1048790,0)),"")</f>
        <v/>
      </c>
      <c r="Z231" s="97">
        <f t="shared" si="10"/>
        <v>45</v>
      </c>
      <c r="AA231" s="87"/>
      <c r="AB231" s="87" t="s">
        <v>78</v>
      </c>
      <c r="AC231" s="87"/>
      <c r="AD231" s="99">
        <v>46043.0</v>
      </c>
      <c r="AE231" s="100">
        <f t="shared" si="8"/>
        <v>1</v>
      </c>
    </row>
    <row r="232" ht="15.75" customHeight="1">
      <c r="A232" s="59" t="s">
        <v>903</v>
      </c>
      <c r="B232" s="59" t="s">
        <v>171</v>
      </c>
      <c r="C232" s="60" t="s">
        <v>904</v>
      </c>
      <c r="D232" s="60" t="s">
        <v>51</v>
      </c>
      <c r="E232" s="60">
        <v>40.0</v>
      </c>
      <c r="F232" s="72">
        <v>16000.0</v>
      </c>
      <c r="G232" s="73" t="s">
        <v>53</v>
      </c>
      <c r="H232" s="74">
        <v>46235.0</v>
      </c>
      <c r="I232" s="67" t="s">
        <v>17</v>
      </c>
      <c r="J232" s="67" t="s">
        <v>54</v>
      </c>
      <c r="K232" s="67" t="s">
        <v>66</v>
      </c>
      <c r="L232" s="67" t="s">
        <v>67</v>
      </c>
      <c r="M232" s="73" t="s">
        <v>68</v>
      </c>
      <c r="N232" s="67" t="s">
        <v>5</v>
      </c>
      <c r="O232" s="59" t="s">
        <v>69</v>
      </c>
      <c r="P232" s="59"/>
      <c r="Q232" s="59" t="s">
        <v>905</v>
      </c>
      <c r="R232" s="76" t="s">
        <v>71</v>
      </c>
      <c r="S232" s="59"/>
      <c r="T232" s="59"/>
      <c r="U232" s="77" t="str">
        <f t="array" ref="U232">IFERROR(INDEX(DFD!$D$2:$D$1048791,MATCH($Q232,DFD!$B$2:$B$1048791,0)),"")</f>
        <v/>
      </c>
      <c r="V232" s="77" t="str">
        <f t="array" ref="V232">IFERROR(INDEX(DFD!$F$2:$F$1048791,MATCH($Q232,DFD!$B$2:$B$1048791,0)),"")</f>
        <v/>
      </c>
      <c r="W232" s="84" t="str">
        <f t="array" ref="W232">IFERROR(INDEX(DFD!$E$2:$E$1048791,MATCH($Q232,DFD!$B$2:$B$1048791,0)),"")</f>
        <v/>
      </c>
      <c r="X232" s="84" t="str">
        <f t="array" ref="X232">IFERROR(INDEX(DFD!$K$2:$K$1048791,MATCH($Q232,DFD!$B$2:$B$1048791,0)),"")</f>
        <v/>
      </c>
      <c r="Y232" s="84" t="str">
        <f t="array" ref="Y232">IFERROR(INDEX(DFD!$L$2:$L$1048790,MATCH($Q232,DFD!$B$2:$B$1048790,0)),"")</f>
        <v/>
      </c>
      <c r="Z232" s="84">
        <f t="shared" si="10"/>
        <v>45</v>
      </c>
      <c r="AA232" s="59"/>
      <c r="AB232" s="59" t="s">
        <v>78</v>
      </c>
      <c r="AC232" s="59"/>
      <c r="AD232" s="85">
        <v>46043.0</v>
      </c>
      <c r="AE232" s="86">
        <f t="shared" si="8"/>
        <v>1</v>
      </c>
    </row>
    <row r="233" ht="15.75" customHeight="1">
      <c r="A233" s="87" t="s">
        <v>908</v>
      </c>
      <c r="B233" s="87" t="s">
        <v>95</v>
      </c>
      <c r="C233" s="88" t="s">
        <v>904</v>
      </c>
      <c r="D233" s="88" t="s">
        <v>51</v>
      </c>
      <c r="E233" s="88">
        <v>40.0</v>
      </c>
      <c r="F233" s="89">
        <v>16000.0</v>
      </c>
      <c r="G233" s="90" t="s">
        <v>53</v>
      </c>
      <c r="H233" s="91">
        <v>46235.0</v>
      </c>
      <c r="I233" s="92" t="s">
        <v>17</v>
      </c>
      <c r="J233" s="92" t="s">
        <v>54</v>
      </c>
      <c r="K233" s="92" t="s">
        <v>66</v>
      </c>
      <c r="L233" s="92" t="s">
        <v>67</v>
      </c>
      <c r="M233" s="90" t="s">
        <v>68</v>
      </c>
      <c r="N233" s="92" t="s">
        <v>5</v>
      </c>
      <c r="O233" s="92" t="s">
        <v>89</v>
      </c>
      <c r="P233" s="87"/>
      <c r="Q233" s="87" t="s">
        <v>905</v>
      </c>
      <c r="R233" s="93" t="s">
        <v>71</v>
      </c>
      <c r="S233" s="87"/>
      <c r="T233" s="87"/>
      <c r="U233" s="94" t="str">
        <f t="array" ref="U233">IFERROR(INDEX(DFD!$D$2:$D$1048791,MATCH($Q233,DFD!$B$2:$B$1048791,0)),"")</f>
        <v/>
      </c>
      <c r="V233" s="94" t="str">
        <f t="array" ref="V233">IFERROR(INDEX(DFD!$F$2:$F$1048791,MATCH($Q233,DFD!$B$2:$B$1048791,0)),"")</f>
        <v/>
      </c>
      <c r="W233" s="97" t="str">
        <f t="array" ref="W233">IFERROR(INDEX(DFD!$E$2:$E$1048791,MATCH($Q233,DFD!$B$2:$B$1048791,0)),"")</f>
        <v/>
      </c>
      <c r="X233" s="97" t="str">
        <f t="array" ref="X233">IFERROR(INDEX(DFD!$K$2:$K$1048791,MATCH($Q233,DFD!$B$2:$B$1048791,0)),"")</f>
        <v/>
      </c>
      <c r="Y233" s="97" t="str">
        <f t="array" ref="Y233">IFERROR(INDEX(DFD!$L$2:$L$1048790,MATCH($Q233,DFD!$B$2:$B$1048790,0)),"")</f>
        <v/>
      </c>
      <c r="Z233" s="97">
        <f t="shared" si="10"/>
        <v>45</v>
      </c>
      <c r="AA233" s="87"/>
      <c r="AB233" s="87" t="s">
        <v>78</v>
      </c>
      <c r="AC233" s="87"/>
      <c r="AD233" s="99">
        <v>46043.0</v>
      </c>
      <c r="AE233" s="100">
        <f t="shared" si="8"/>
        <v>1</v>
      </c>
    </row>
    <row r="234" ht="15.75" customHeight="1">
      <c r="A234" s="59" t="s">
        <v>910</v>
      </c>
      <c r="B234" s="59" t="s">
        <v>94</v>
      </c>
      <c r="C234" s="60" t="s">
        <v>904</v>
      </c>
      <c r="D234" s="60" t="s">
        <v>51</v>
      </c>
      <c r="E234" s="60">
        <v>40.0</v>
      </c>
      <c r="F234" s="72">
        <v>16000.0</v>
      </c>
      <c r="G234" s="73" t="s">
        <v>53</v>
      </c>
      <c r="H234" s="74">
        <v>46235.0</v>
      </c>
      <c r="I234" s="67" t="s">
        <v>17</v>
      </c>
      <c r="J234" s="67" t="s">
        <v>54</v>
      </c>
      <c r="K234" s="67" t="s">
        <v>66</v>
      </c>
      <c r="L234" s="67" t="s">
        <v>67</v>
      </c>
      <c r="M234" s="73" t="s">
        <v>68</v>
      </c>
      <c r="N234" s="67" t="s">
        <v>5</v>
      </c>
      <c r="O234" s="59" t="s">
        <v>69</v>
      </c>
      <c r="P234" s="59"/>
      <c r="Q234" s="59" t="s">
        <v>905</v>
      </c>
      <c r="R234" s="76" t="s">
        <v>71</v>
      </c>
      <c r="S234" s="59"/>
      <c r="T234" s="59"/>
      <c r="U234" s="77" t="str">
        <f t="array" ref="U234">IFERROR(INDEX(DFD!$D$2:$D$1048791,MATCH($Q234,DFD!$B$2:$B$1048791,0)),"")</f>
        <v/>
      </c>
      <c r="V234" s="77" t="str">
        <f t="array" ref="V234">IFERROR(INDEX(DFD!$F$2:$F$1048791,MATCH($Q234,DFD!$B$2:$B$1048791,0)),"")</f>
        <v/>
      </c>
      <c r="W234" s="84" t="str">
        <f t="array" ref="W234">IFERROR(INDEX(DFD!$E$2:$E$1048791,MATCH($Q234,DFD!$B$2:$B$1048791,0)),"")</f>
        <v/>
      </c>
      <c r="X234" s="84" t="str">
        <f t="array" ref="X234">IFERROR(INDEX(DFD!$K$2:$K$1048791,MATCH($Q234,DFD!$B$2:$B$1048791,0)),"")</f>
        <v/>
      </c>
      <c r="Y234" s="84" t="str">
        <f t="array" ref="Y234">IFERROR(INDEX(DFD!$L$2:$L$1048790,MATCH($Q234,DFD!$B$2:$B$1048790,0)),"")</f>
        <v/>
      </c>
      <c r="Z234" s="84">
        <f t="shared" si="10"/>
        <v>45</v>
      </c>
      <c r="AA234" s="59"/>
      <c r="AB234" s="59" t="s">
        <v>78</v>
      </c>
      <c r="AC234" s="59"/>
      <c r="AD234" s="85">
        <v>46043.0</v>
      </c>
      <c r="AE234" s="86">
        <f t="shared" si="8"/>
        <v>1</v>
      </c>
    </row>
    <row r="235" ht="15.75" customHeight="1">
      <c r="A235" s="87" t="s">
        <v>912</v>
      </c>
      <c r="B235" s="92" t="s">
        <v>101</v>
      </c>
      <c r="C235" s="88" t="s">
        <v>904</v>
      </c>
      <c r="D235" s="116" t="s">
        <v>51</v>
      </c>
      <c r="E235" s="116">
        <v>35.0</v>
      </c>
      <c r="F235" s="137">
        <v>14000.0</v>
      </c>
      <c r="G235" s="90" t="s">
        <v>53</v>
      </c>
      <c r="H235" s="118">
        <v>46235.0</v>
      </c>
      <c r="I235" s="92" t="s">
        <v>17</v>
      </c>
      <c r="J235" s="92" t="s">
        <v>54</v>
      </c>
      <c r="K235" s="92" t="s">
        <v>66</v>
      </c>
      <c r="L235" s="92" t="s">
        <v>56</v>
      </c>
      <c r="M235" s="90" t="s">
        <v>68</v>
      </c>
      <c r="N235" s="92" t="s">
        <v>58</v>
      </c>
      <c r="O235" s="87" t="s">
        <v>69</v>
      </c>
      <c r="P235" s="87"/>
      <c r="Q235" s="87" t="s">
        <v>905</v>
      </c>
      <c r="R235" s="93" t="s">
        <v>71</v>
      </c>
      <c r="S235" s="87"/>
      <c r="T235" s="87"/>
      <c r="U235" s="94" t="str">
        <f t="array" ref="U235">IFERROR(INDEX(DFD!$D$2:$D$1048791,MATCH($Q235,DFD!$B$2:$B$1048791,0)),"")</f>
        <v/>
      </c>
      <c r="V235" s="94" t="str">
        <f t="array" ref="V235">IFERROR(INDEX(DFD!$F$2:$F$1048791,MATCH($Q235,DFD!$B$2:$B$1048791,0)),"")</f>
        <v/>
      </c>
      <c r="W235" s="97" t="str">
        <f t="array" ref="W235">IFERROR(INDEX(DFD!$E$2:$E$1048791,MATCH($Q235,DFD!$B$2:$B$1048791,0)),"")</f>
        <v/>
      </c>
      <c r="X235" s="97" t="str">
        <f t="array" ref="X235">IFERROR(INDEX(DFD!$K$2:$K$1048791,MATCH($Q235,DFD!$B$2:$B$1048791,0)),"")</f>
        <v/>
      </c>
      <c r="Y235" s="97" t="str">
        <f t="array" ref="Y235">IFERROR(INDEX(DFD!$L$2:$L$1048790,MATCH($Q235,DFD!$B$2:$B$1048790,0)),"")</f>
        <v/>
      </c>
      <c r="Z235" s="97">
        <f t="shared" si="10"/>
        <v>45</v>
      </c>
      <c r="AA235" s="87"/>
      <c r="AB235" s="87" t="s">
        <v>78</v>
      </c>
      <c r="AC235" s="87"/>
      <c r="AD235" s="99">
        <v>46043.0</v>
      </c>
      <c r="AE235" s="100">
        <f t="shared" si="8"/>
        <v>1</v>
      </c>
    </row>
    <row r="236" ht="15.75" customHeight="1">
      <c r="A236" s="59" t="s">
        <v>915</v>
      </c>
      <c r="B236" s="59" t="s">
        <v>602</v>
      </c>
      <c r="C236" s="60" t="s">
        <v>904</v>
      </c>
      <c r="D236" s="60" t="s">
        <v>51</v>
      </c>
      <c r="E236" s="60">
        <v>20.0</v>
      </c>
      <c r="F236" s="72">
        <v>8000.0</v>
      </c>
      <c r="G236" s="73" t="s">
        <v>53</v>
      </c>
      <c r="H236" s="74">
        <v>46204.0</v>
      </c>
      <c r="I236" s="67" t="s">
        <v>17</v>
      </c>
      <c r="J236" s="67" t="s">
        <v>54</v>
      </c>
      <c r="K236" s="67" t="s">
        <v>66</v>
      </c>
      <c r="L236" s="67" t="s">
        <v>67</v>
      </c>
      <c r="M236" s="73" t="s">
        <v>68</v>
      </c>
      <c r="N236" s="67" t="s">
        <v>5</v>
      </c>
      <c r="O236" s="67" t="s">
        <v>89</v>
      </c>
      <c r="P236" s="59"/>
      <c r="Q236" s="59" t="s">
        <v>905</v>
      </c>
      <c r="R236" s="76" t="s">
        <v>71</v>
      </c>
      <c r="S236" s="59"/>
      <c r="T236" s="59"/>
      <c r="U236" s="77" t="str">
        <f t="array" ref="U236">IFERROR(INDEX(DFD!$D$2:$D$1048791,MATCH($Q236,DFD!$B$2:$B$1048791,0)),"")</f>
        <v/>
      </c>
      <c r="V236" s="77" t="str">
        <f t="array" ref="V236">IFERROR(INDEX(DFD!$F$2:$F$1048791,MATCH($Q236,DFD!$B$2:$B$1048791,0)),"")</f>
        <v/>
      </c>
      <c r="W236" s="84" t="str">
        <f t="array" ref="W236">IFERROR(INDEX(DFD!$E$2:$E$1048791,MATCH($Q236,DFD!$B$2:$B$1048791,0)),"")</f>
        <v/>
      </c>
      <c r="X236" s="84" t="str">
        <f t="array" ref="X236">IFERROR(INDEX(DFD!$K$2:$K$1048791,MATCH($Q236,DFD!$B$2:$B$1048791,0)),"")</f>
        <v/>
      </c>
      <c r="Y236" s="84" t="str">
        <f t="array" ref="Y236">IFERROR(INDEX(DFD!$L$2:$L$1048790,MATCH($Q236,DFD!$B$2:$B$1048790,0)),"")</f>
        <v/>
      </c>
      <c r="Z236" s="84">
        <f t="shared" si="10"/>
        <v>45</v>
      </c>
      <c r="AA236" s="59"/>
      <c r="AB236" s="59" t="s">
        <v>78</v>
      </c>
      <c r="AC236" s="59"/>
      <c r="AD236" s="85">
        <v>46043.0</v>
      </c>
      <c r="AE236" s="86">
        <f t="shared" si="8"/>
        <v>1</v>
      </c>
    </row>
    <row r="237" ht="15.75" customHeight="1">
      <c r="A237" s="87" t="s">
        <v>916</v>
      </c>
      <c r="B237" s="87" t="s">
        <v>64</v>
      </c>
      <c r="C237" s="88" t="s">
        <v>904</v>
      </c>
      <c r="D237" s="88" t="s">
        <v>51</v>
      </c>
      <c r="E237" s="88">
        <v>15.0</v>
      </c>
      <c r="F237" s="89">
        <v>6000.0</v>
      </c>
      <c r="G237" s="90" t="s">
        <v>53</v>
      </c>
      <c r="H237" s="91">
        <v>46204.0</v>
      </c>
      <c r="I237" s="92" t="s">
        <v>17</v>
      </c>
      <c r="J237" s="92" t="s">
        <v>54</v>
      </c>
      <c r="K237" s="92" t="s">
        <v>66</v>
      </c>
      <c r="L237" s="92" t="s">
        <v>67</v>
      </c>
      <c r="M237" s="90" t="s">
        <v>68</v>
      </c>
      <c r="N237" s="92" t="s">
        <v>5</v>
      </c>
      <c r="O237" s="87" t="s">
        <v>69</v>
      </c>
      <c r="P237" s="87"/>
      <c r="Q237" s="87" t="s">
        <v>905</v>
      </c>
      <c r="R237" s="93" t="s">
        <v>71</v>
      </c>
      <c r="S237" s="87"/>
      <c r="T237" s="87"/>
      <c r="U237" s="94" t="str">
        <f t="array" ref="U237">IFERROR(INDEX(DFD!$D$2:$D$1048791,MATCH($Q237,DFD!$B$2:$B$1048791,0)),"")</f>
        <v/>
      </c>
      <c r="V237" s="94" t="str">
        <f t="array" ref="V237">IFERROR(INDEX(DFD!$F$2:$F$1048791,MATCH($Q237,DFD!$B$2:$B$1048791,0)),"")</f>
        <v/>
      </c>
      <c r="W237" s="97" t="str">
        <f t="array" ref="W237">IFERROR(INDEX(DFD!$E$2:$E$1048791,MATCH($Q237,DFD!$B$2:$B$1048791,0)),"")</f>
        <v/>
      </c>
      <c r="X237" s="97" t="str">
        <f t="array" ref="X237">IFERROR(INDEX(DFD!$K$2:$K$1048791,MATCH($Q237,DFD!$B$2:$B$1048791,0)),"")</f>
        <v/>
      </c>
      <c r="Y237" s="97" t="str">
        <f t="array" ref="Y237">IFERROR(INDEX(DFD!$L$2:$L$1048790,MATCH($Q237,DFD!$B$2:$B$1048790,0)),"")</f>
        <v/>
      </c>
      <c r="Z237" s="97">
        <f t="shared" si="10"/>
        <v>45</v>
      </c>
      <c r="AA237" s="87"/>
      <c r="AB237" s="87" t="s">
        <v>78</v>
      </c>
      <c r="AC237" s="87"/>
      <c r="AD237" s="99">
        <v>46043.0</v>
      </c>
      <c r="AE237" s="100">
        <f t="shared" si="8"/>
        <v>1</v>
      </c>
    </row>
    <row r="238" ht="15.75" customHeight="1">
      <c r="A238" s="59" t="s">
        <v>919</v>
      </c>
      <c r="B238" s="59" t="s">
        <v>91</v>
      </c>
      <c r="C238" s="60" t="s">
        <v>904</v>
      </c>
      <c r="D238" s="60" t="s">
        <v>51</v>
      </c>
      <c r="E238" s="60">
        <v>15.0</v>
      </c>
      <c r="F238" s="72">
        <v>6000.0</v>
      </c>
      <c r="G238" s="73" t="s">
        <v>53</v>
      </c>
      <c r="H238" s="74">
        <v>46204.0</v>
      </c>
      <c r="I238" s="67" t="s">
        <v>17</v>
      </c>
      <c r="J238" s="67" t="s">
        <v>54</v>
      </c>
      <c r="K238" s="67" t="s">
        <v>66</v>
      </c>
      <c r="L238" s="67" t="s">
        <v>67</v>
      </c>
      <c r="M238" s="73" t="s">
        <v>68</v>
      </c>
      <c r="N238" s="67" t="s">
        <v>5</v>
      </c>
      <c r="O238" s="59" t="s">
        <v>69</v>
      </c>
      <c r="P238" s="59"/>
      <c r="Q238" s="59" t="s">
        <v>905</v>
      </c>
      <c r="R238" s="76" t="s">
        <v>71</v>
      </c>
      <c r="S238" s="59"/>
      <c r="T238" s="59"/>
      <c r="U238" s="77" t="str">
        <f t="array" ref="U238">IFERROR(INDEX(DFD!$D$2:$D$1048791,MATCH($Q238,DFD!$B$2:$B$1048791,0)),"")</f>
        <v/>
      </c>
      <c r="V238" s="77" t="str">
        <f t="array" ref="V238">IFERROR(INDEX(DFD!$F$2:$F$1048791,MATCH($Q238,DFD!$B$2:$B$1048791,0)),"")</f>
        <v/>
      </c>
      <c r="W238" s="84" t="str">
        <f t="array" ref="W238">IFERROR(INDEX(DFD!$E$2:$E$1048791,MATCH($Q238,DFD!$B$2:$B$1048791,0)),"")</f>
        <v/>
      </c>
      <c r="X238" s="84" t="str">
        <f t="array" ref="X238">IFERROR(INDEX(DFD!$K$2:$K$1048791,MATCH($Q238,DFD!$B$2:$B$1048791,0)),"")</f>
        <v/>
      </c>
      <c r="Y238" s="84" t="str">
        <f t="array" ref="Y238">IFERROR(INDEX(DFD!$L$2:$L$1048790,MATCH($Q238,DFD!$B$2:$B$1048790,0)),"")</f>
        <v/>
      </c>
      <c r="Z238" s="84">
        <f t="shared" si="10"/>
        <v>45</v>
      </c>
      <c r="AA238" s="59"/>
      <c r="AB238" s="59" t="s">
        <v>78</v>
      </c>
      <c r="AC238" s="59"/>
      <c r="AD238" s="85">
        <v>46043.0</v>
      </c>
      <c r="AE238" s="86">
        <f t="shared" si="8"/>
        <v>1</v>
      </c>
    </row>
    <row r="239" ht="15.75" customHeight="1">
      <c r="A239" s="87" t="s">
        <v>921</v>
      </c>
      <c r="B239" s="87" t="s">
        <v>80</v>
      </c>
      <c r="C239" s="88" t="s">
        <v>904</v>
      </c>
      <c r="D239" s="88" t="s">
        <v>51</v>
      </c>
      <c r="E239" s="88">
        <v>15.0</v>
      </c>
      <c r="F239" s="89">
        <v>6000.0</v>
      </c>
      <c r="G239" s="90" t="s">
        <v>53</v>
      </c>
      <c r="H239" s="91">
        <v>46204.0</v>
      </c>
      <c r="I239" s="92" t="s">
        <v>17</v>
      </c>
      <c r="J239" s="92" t="s">
        <v>54</v>
      </c>
      <c r="K239" s="92" t="s">
        <v>66</v>
      </c>
      <c r="L239" s="92" t="s">
        <v>67</v>
      </c>
      <c r="M239" s="90" t="s">
        <v>68</v>
      </c>
      <c r="N239" s="92" t="s">
        <v>5</v>
      </c>
      <c r="O239" s="92" t="s">
        <v>89</v>
      </c>
      <c r="P239" s="87"/>
      <c r="Q239" s="87" t="s">
        <v>905</v>
      </c>
      <c r="R239" s="93" t="s">
        <v>71</v>
      </c>
      <c r="S239" s="87"/>
      <c r="T239" s="87"/>
      <c r="U239" s="94" t="str">
        <f t="array" ref="U239">IFERROR(INDEX(DFD!$D$2:$D$1048791,MATCH($Q239,DFD!$B$2:$B$1048791,0)),"")</f>
        <v/>
      </c>
      <c r="V239" s="94" t="str">
        <f t="array" ref="V239">IFERROR(INDEX(DFD!$F$2:$F$1048791,MATCH($Q239,DFD!$B$2:$B$1048791,0)),"")</f>
        <v/>
      </c>
      <c r="W239" s="97" t="str">
        <f t="array" ref="W239">IFERROR(INDEX(DFD!$E$2:$E$1048791,MATCH($Q239,DFD!$B$2:$B$1048791,0)),"")</f>
        <v/>
      </c>
      <c r="X239" s="97" t="str">
        <f t="array" ref="X239">IFERROR(INDEX(DFD!$K$2:$K$1048791,MATCH($Q239,DFD!$B$2:$B$1048791,0)),"")</f>
        <v/>
      </c>
      <c r="Y239" s="97" t="str">
        <f t="array" ref="Y239">IFERROR(INDEX(DFD!$L$2:$L$1048790,MATCH($Q239,DFD!$B$2:$B$1048790,0)),"")</f>
        <v/>
      </c>
      <c r="Z239" s="97">
        <f t="shared" si="10"/>
        <v>45</v>
      </c>
      <c r="AA239" s="87"/>
      <c r="AB239" s="87" t="s">
        <v>78</v>
      </c>
      <c r="AC239" s="87"/>
      <c r="AD239" s="99">
        <v>46043.0</v>
      </c>
      <c r="AE239" s="100">
        <f t="shared" si="8"/>
        <v>1</v>
      </c>
    </row>
    <row r="240" ht="15.75" customHeight="1">
      <c r="A240" s="59" t="s">
        <v>924</v>
      </c>
      <c r="B240" s="59" t="s">
        <v>92</v>
      </c>
      <c r="C240" s="60" t="s">
        <v>904</v>
      </c>
      <c r="D240" s="60" t="s">
        <v>51</v>
      </c>
      <c r="E240" s="60">
        <v>10.0</v>
      </c>
      <c r="F240" s="72">
        <v>4000.0</v>
      </c>
      <c r="G240" s="73" t="s">
        <v>53</v>
      </c>
      <c r="H240" s="74">
        <v>46204.0</v>
      </c>
      <c r="I240" s="67" t="s">
        <v>17</v>
      </c>
      <c r="J240" s="67" t="s">
        <v>54</v>
      </c>
      <c r="K240" s="67" t="s">
        <v>66</v>
      </c>
      <c r="L240" s="67" t="s">
        <v>67</v>
      </c>
      <c r="M240" s="73" t="s">
        <v>68</v>
      </c>
      <c r="N240" s="67" t="s">
        <v>5</v>
      </c>
      <c r="O240" s="59" t="s">
        <v>69</v>
      </c>
      <c r="P240" s="59"/>
      <c r="Q240" s="59" t="s">
        <v>905</v>
      </c>
      <c r="R240" s="76" t="s">
        <v>71</v>
      </c>
      <c r="S240" s="59"/>
      <c r="T240" s="59"/>
      <c r="U240" s="77" t="str">
        <f t="array" ref="U240">IFERROR(INDEX(DFD!$D$2:$D$1048791,MATCH($Q240,DFD!$B$2:$B$1048791,0)),"")</f>
        <v/>
      </c>
      <c r="V240" s="77" t="str">
        <f t="array" ref="V240">IFERROR(INDEX(DFD!$F$2:$F$1048791,MATCH($Q240,DFD!$B$2:$B$1048791,0)),"")</f>
        <v/>
      </c>
      <c r="W240" s="84" t="str">
        <f t="array" ref="W240">IFERROR(INDEX(DFD!$E$2:$E$1048791,MATCH($Q240,DFD!$B$2:$B$1048791,0)),"")</f>
        <v/>
      </c>
      <c r="X240" s="84" t="str">
        <f t="array" ref="X240">IFERROR(INDEX(DFD!$K$2:$K$1048791,MATCH($Q240,DFD!$B$2:$B$1048791,0)),"")</f>
        <v/>
      </c>
      <c r="Y240" s="84" t="str">
        <f t="array" ref="Y240">IFERROR(INDEX(DFD!$L$2:$L$1048790,MATCH($Q240,DFD!$B$2:$B$1048790,0)),"")</f>
        <v/>
      </c>
      <c r="Z240" s="84">
        <f t="shared" si="10"/>
        <v>45</v>
      </c>
      <c r="AA240" s="59"/>
      <c r="AB240" s="59" t="s">
        <v>78</v>
      </c>
      <c r="AC240" s="59"/>
      <c r="AD240" s="85">
        <v>46043.0</v>
      </c>
      <c r="AE240" s="86">
        <f t="shared" si="8"/>
        <v>1</v>
      </c>
    </row>
    <row r="241" ht="15.75" customHeight="1">
      <c r="A241" s="92" t="s">
        <v>926</v>
      </c>
      <c r="B241" s="71" t="s">
        <v>95</v>
      </c>
      <c r="C241" s="116" t="s">
        <v>927</v>
      </c>
      <c r="D241" s="88" t="s">
        <v>51</v>
      </c>
      <c r="E241" s="88">
        <v>109.0</v>
      </c>
      <c r="F241" s="89">
        <v>182030.0</v>
      </c>
      <c r="G241" s="90" t="s">
        <v>53</v>
      </c>
      <c r="H241" s="91">
        <v>46266.0</v>
      </c>
      <c r="I241" s="92" t="s">
        <v>17</v>
      </c>
      <c r="J241" s="92" t="s">
        <v>54</v>
      </c>
      <c r="K241" s="92" t="s">
        <v>55</v>
      </c>
      <c r="L241" s="92" t="s">
        <v>67</v>
      </c>
      <c r="M241" s="90" t="s">
        <v>928</v>
      </c>
      <c r="N241" s="92" t="s">
        <v>20</v>
      </c>
      <c r="O241" s="87" t="s">
        <v>69</v>
      </c>
      <c r="P241" s="87"/>
      <c r="Q241" s="87">
        <v>2025.0</v>
      </c>
      <c r="R241" s="93" t="s">
        <v>71</v>
      </c>
      <c r="S241" s="87"/>
      <c r="T241" s="87"/>
      <c r="U241" s="94" t="s">
        <v>929</v>
      </c>
      <c r="V241" s="94" t="s">
        <v>280</v>
      </c>
      <c r="W241" s="97"/>
      <c r="X241" s="94"/>
      <c r="Y241" s="97"/>
      <c r="Z241" s="97"/>
      <c r="AA241" s="87"/>
      <c r="AB241" s="87" t="s">
        <v>78</v>
      </c>
      <c r="AC241" s="87"/>
      <c r="AD241" s="99">
        <v>46043.0</v>
      </c>
      <c r="AE241" s="100">
        <f t="shared" si="8"/>
        <v>1</v>
      </c>
    </row>
    <row r="242" ht="15.75" customHeight="1">
      <c r="A242" s="59" t="s">
        <v>930</v>
      </c>
      <c r="B242" s="59" t="s">
        <v>355</v>
      </c>
      <c r="C242" s="60" t="s">
        <v>931</v>
      </c>
      <c r="D242" s="60" t="s">
        <v>51</v>
      </c>
      <c r="E242" s="60">
        <v>50.0</v>
      </c>
      <c r="F242" s="72">
        <v>35000.0</v>
      </c>
      <c r="G242" s="73" t="s">
        <v>53</v>
      </c>
      <c r="H242" s="74">
        <v>46235.0</v>
      </c>
      <c r="I242" s="67" t="s">
        <v>17</v>
      </c>
      <c r="J242" s="67" t="s">
        <v>54</v>
      </c>
      <c r="K242" s="67" t="s">
        <v>66</v>
      </c>
      <c r="L242" s="67" t="s">
        <v>56</v>
      </c>
      <c r="M242" s="73" t="s">
        <v>167</v>
      </c>
      <c r="N242" s="67" t="s">
        <v>58</v>
      </c>
      <c r="O242" s="67" t="s">
        <v>89</v>
      </c>
      <c r="P242" s="59"/>
      <c r="Q242" s="59" t="s">
        <v>52</v>
      </c>
      <c r="R242" s="76" t="s">
        <v>71</v>
      </c>
      <c r="S242" s="59"/>
      <c r="T242" s="59"/>
      <c r="U242" s="77" t="str">
        <f t="array" ref="U242">IFERROR(INDEX(DFD!$D$2:$D$1048791,MATCH($Q242,DFD!$B$2:$B$1048791,0)),"")</f>
        <v/>
      </c>
      <c r="V242" s="77" t="str">
        <f t="array" ref="V242">IFERROR(INDEX(DFD!$F$2:$F$1048791,MATCH($Q242,DFD!$B$2:$B$1048791,0)),"")</f>
        <v/>
      </c>
      <c r="W242" s="84" t="str">
        <f t="array" ref="W242">IFERROR(INDEX(DFD!$E$2:$E$1048791,MATCH($Q242,DFD!$B$2:$B$1048791,0)),"")</f>
        <v/>
      </c>
      <c r="X242" s="84" t="str">
        <f t="array" ref="X242">IFERROR(INDEX(DFD!$K$2:$K$1048791,MATCH($Q242,DFD!$B$2:$B$1048791,0)),"")</f>
        <v/>
      </c>
      <c r="Y242" s="84" t="str">
        <f t="array" ref="Y242">IFERROR(INDEX(DFD!$L$2:$L$1048790,MATCH($Q242,DFD!$B$2:$B$1048790,0)),"")</f>
        <v/>
      </c>
      <c r="Z242" s="84">
        <f t="shared" ref="Z242:Z359" si="11">Y242+45</f>
        <v>45</v>
      </c>
      <c r="AA242" s="59"/>
      <c r="AB242" s="59" t="s">
        <v>72</v>
      </c>
      <c r="AC242" s="59"/>
      <c r="AD242" s="85">
        <v>46043.0</v>
      </c>
      <c r="AE242" s="86">
        <f t="shared" si="8"/>
        <v>1</v>
      </c>
    </row>
    <row r="243" ht="15.75" customHeight="1">
      <c r="A243" s="92" t="s">
        <v>933</v>
      </c>
      <c r="B243" s="92" t="s">
        <v>386</v>
      </c>
      <c r="C243" s="88" t="s">
        <v>934</v>
      </c>
      <c r="D243" s="116" t="s">
        <v>51</v>
      </c>
      <c r="E243" s="116">
        <v>1.0</v>
      </c>
      <c r="F243" s="137">
        <v>6990.4</v>
      </c>
      <c r="G243" s="90" t="s">
        <v>53</v>
      </c>
      <c r="H243" s="118">
        <v>46204.0</v>
      </c>
      <c r="I243" s="92" t="s">
        <v>18</v>
      </c>
      <c r="J243" s="92" t="s">
        <v>54</v>
      </c>
      <c r="K243" s="92" t="s">
        <v>83</v>
      </c>
      <c r="L243" s="92" t="s">
        <v>56</v>
      </c>
      <c r="M243" s="90" t="s">
        <v>935</v>
      </c>
      <c r="N243" s="92" t="s">
        <v>20</v>
      </c>
      <c r="O243" s="87" t="s">
        <v>69</v>
      </c>
      <c r="P243" s="87"/>
      <c r="Q243" s="87">
        <v>2025.0</v>
      </c>
      <c r="R243" s="93" t="s">
        <v>114</v>
      </c>
      <c r="S243" s="87"/>
      <c r="T243" s="87"/>
      <c r="U243" s="92" t="s">
        <v>936</v>
      </c>
      <c r="V243" s="94" t="s">
        <v>386</v>
      </c>
      <c r="W243" s="97" t="str">
        <f t="array" ref="W243">IFERROR(INDEX(DFD!$E$2:$E$1048791,MATCH($Q243,DFD!$B$2:$B$1048791,0)),"")</f>
        <v/>
      </c>
      <c r="X243" s="97" t="str">
        <f t="array" ref="X243">IFERROR(INDEX(DFD!$K$2:$K$1048791,MATCH($Q243,DFD!$B$2:$B$1048791,0)),"")</f>
        <v/>
      </c>
      <c r="Y243" s="97" t="str">
        <f t="array" ref="Y243">IFERROR(INDEX(DFD!$L$2:$L$1048790,MATCH($Q243,DFD!$B$2:$B$1048790,0)),"")</f>
        <v/>
      </c>
      <c r="Z243" s="97">
        <f t="shared" si="11"/>
        <v>45</v>
      </c>
      <c r="AA243" s="87"/>
      <c r="AB243" s="87" t="s">
        <v>78</v>
      </c>
      <c r="AC243" s="87"/>
      <c r="AD243" s="99">
        <v>46043.0</v>
      </c>
      <c r="AE243" s="100">
        <f t="shared" si="8"/>
        <v>1</v>
      </c>
    </row>
    <row r="244" ht="15.75" customHeight="1">
      <c r="A244" s="59" t="s">
        <v>938</v>
      </c>
      <c r="B244" s="59" t="s">
        <v>136</v>
      </c>
      <c r="C244" s="60" t="s">
        <v>939</v>
      </c>
      <c r="D244" s="60" t="s">
        <v>940</v>
      </c>
      <c r="E244" s="60">
        <v>12.0</v>
      </c>
      <c r="F244" s="72">
        <v>480.0</v>
      </c>
      <c r="G244" s="73" t="s">
        <v>53</v>
      </c>
      <c r="H244" s="74">
        <v>46174.0</v>
      </c>
      <c r="I244" s="67" t="s">
        <v>17</v>
      </c>
      <c r="J244" s="67" t="s">
        <v>54</v>
      </c>
      <c r="K244" s="67" t="s">
        <v>66</v>
      </c>
      <c r="L244" s="67" t="s">
        <v>67</v>
      </c>
      <c r="M244" s="73" t="s">
        <v>57</v>
      </c>
      <c r="N244" s="67" t="s">
        <v>5</v>
      </c>
      <c r="O244" s="59" t="s">
        <v>69</v>
      </c>
      <c r="P244" s="59"/>
      <c r="Q244" s="59" t="s">
        <v>139</v>
      </c>
      <c r="R244" s="76" t="s">
        <v>140</v>
      </c>
      <c r="S244" s="59"/>
      <c r="T244" s="59"/>
      <c r="U244" s="77" t="str">
        <f t="array" ref="U244">IFERROR(INDEX(DFD!$D$2:$D$1048791,MATCH($Q244,DFD!$B$2:$B$1048791,0)),"")</f>
        <v/>
      </c>
      <c r="V244" s="77" t="str">
        <f t="array" ref="V244">IFERROR(INDEX(DFD!$F$2:$F$1048791,MATCH($Q244,DFD!$B$2:$B$1048791,0)),"")</f>
        <v/>
      </c>
      <c r="W244" s="84" t="str">
        <f t="array" ref="W244">IFERROR(INDEX(DFD!$E$2:$E$1048791,MATCH($Q244,DFD!$B$2:$B$1048791,0)),"")</f>
        <v/>
      </c>
      <c r="X244" s="84" t="str">
        <f t="array" ref="X244">IFERROR(INDEX(DFD!$K$2:$K$1048791,MATCH($Q244,DFD!$B$2:$B$1048791,0)),"")</f>
        <v/>
      </c>
      <c r="Y244" s="84" t="str">
        <f t="array" ref="Y244">IFERROR(INDEX(DFD!$L$2:$L$1048790,MATCH($Q244,DFD!$B$2:$B$1048790,0)),"")</f>
        <v/>
      </c>
      <c r="Z244" s="84">
        <f t="shared" si="11"/>
        <v>45</v>
      </c>
      <c r="AA244" s="59"/>
      <c r="AB244" s="59" t="s">
        <v>78</v>
      </c>
      <c r="AC244" s="59"/>
      <c r="AD244" s="85">
        <v>46043.0</v>
      </c>
      <c r="AE244" s="86">
        <f t="shared" si="8"/>
        <v>1</v>
      </c>
    </row>
    <row r="245" ht="15.75" customHeight="1">
      <c r="A245" s="87" t="s">
        <v>942</v>
      </c>
      <c r="B245" s="92" t="s">
        <v>64</v>
      </c>
      <c r="C245" s="88" t="s">
        <v>943</v>
      </c>
      <c r="D245" s="116" t="s">
        <v>51</v>
      </c>
      <c r="E245" s="116">
        <v>2.0</v>
      </c>
      <c r="F245" s="137">
        <v>12000.0</v>
      </c>
      <c r="G245" s="90" t="s">
        <v>53</v>
      </c>
      <c r="H245" s="118">
        <v>46235.0</v>
      </c>
      <c r="I245" s="92" t="s">
        <v>18</v>
      </c>
      <c r="J245" s="92" t="s">
        <v>54</v>
      </c>
      <c r="K245" s="92" t="s">
        <v>83</v>
      </c>
      <c r="L245" s="92" t="s">
        <v>56</v>
      </c>
      <c r="M245" s="90" t="s">
        <v>104</v>
      </c>
      <c r="N245" s="92" t="s">
        <v>58</v>
      </c>
      <c r="O245" s="92" t="s">
        <v>89</v>
      </c>
      <c r="P245" s="87"/>
      <c r="Q245" s="87" t="s">
        <v>946</v>
      </c>
      <c r="R245" s="93" t="s">
        <v>947</v>
      </c>
      <c r="S245" s="87"/>
      <c r="T245" s="87"/>
      <c r="U245" s="94" t="str">
        <f t="array" ref="U245">IFERROR(INDEX(DFD!$D$2:$D$1048791,MATCH($Q245,DFD!$B$2:$B$1048791,0)),"")</f>
        <v/>
      </c>
      <c r="V245" s="94" t="str">
        <f t="array" ref="V245">IFERROR(INDEX(DFD!$F$2:$F$1048791,MATCH($Q245,DFD!$B$2:$B$1048791,0)),"")</f>
        <v/>
      </c>
      <c r="W245" s="97" t="str">
        <f t="array" ref="W245">IFERROR(INDEX(DFD!$E$2:$E$1048791,MATCH($Q245,DFD!$B$2:$B$1048791,0)),"")</f>
        <v/>
      </c>
      <c r="X245" s="97" t="str">
        <f t="array" ref="X245">IFERROR(INDEX(DFD!$K$2:$K$1048791,MATCH($Q245,DFD!$B$2:$B$1048791,0)),"")</f>
        <v/>
      </c>
      <c r="Y245" s="97" t="str">
        <f t="array" ref="Y245">IFERROR(INDEX(DFD!$L$2:$L$1048790,MATCH($Q245,DFD!$B$2:$B$1048790,0)),"")</f>
        <v/>
      </c>
      <c r="Z245" s="97">
        <f t="shared" si="11"/>
        <v>45</v>
      </c>
      <c r="AA245" s="87"/>
      <c r="AB245" s="87" t="s">
        <v>78</v>
      </c>
      <c r="AC245" s="87"/>
      <c r="AD245" s="99">
        <v>46043.0</v>
      </c>
      <c r="AE245" s="100">
        <f t="shared" si="8"/>
        <v>1</v>
      </c>
    </row>
    <row r="246" ht="15.75" customHeight="1">
      <c r="A246" s="67" t="s">
        <v>948</v>
      </c>
      <c r="B246" s="59" t="s">
        <v>174</v>
      </c>
      <c r="C246" s="60" t="s">
        <v>949</v>
      </c>
      <c r="D246" s="60" t="s">
        <v>51</v>
      </c>
      <c r="E246" s="60">
        <v>2.0</v>
      </c>
      <c r="F246" s="72">
        <v>600.0</v>
      </c>
      <c r="G246" s="73" t="s">
        <v>53</v>
      </c>
      <c r="H246" s="74">
        <v>46174.0</v>
      </c>
      <c r="I246" s="67" t="s">
        <v>17</v>
      </c>
      <c r="J246" s="67" t="s">
        <v>54</v>
      </c>
      <c r="K246" s="67" t="s">
        <v>66</v>
      </c>
      <c r="L246" s="67" t="s">
        <v>56</v>
      </c>
      <c r="M246" s="73" t="s">
        <v>112</v>
      </c>
      <c r="N246" s="67" t="s">
        <v>20</v>
      </c>
      <c r="O246" s="59" t="s">
        <v>69</v>
      </c>
      <c r="P246" s="59"/>
      <c r="Q246" s="59" t="s">
        <v>176</v>
      </c>
      <c r="R246" s="76" t="s">
        <v>402</v>
      </c>
      <c r="S246" s="59"/>
      <c r="T246" s="59"/>
      <c r="U246" s="77" t="str">
        <f t="array" ref="U246">IFERROR(INDEX(DFD!$D$2:$D$1048791,MATCH($Q246,DFD!$B$2:$B$1048791,0)),"")</f>
        <v/>
      </c>
      <c r="V246" s="77" t="str">
        <f t="array" ref="V246">IFERROR(INDEX(DFD!$F$2:$F$1048791,MATCH($Q246,DFD!$B$2:$B$1048791,0)),"")</f>
        <v/>
      </c>
      <c r="W246" s="84" t="str">
        <f t="array" ref="W246">IFERROR(INDEX(DFD!$E$2:$E$1048791,MATCH($Q246,DFD!$B$2:$B$1048791,0)),"")</f>
        <v/>
      </c>
      <c r="X246" s="84" t="str">
        <f t="array" ref="X246">IFERROR(INDEX(DFD!$K$2:$K$1048791,MATCH($Q246,DFD!$B$2:$B$1048791,0)),"")</f>
        <v/>
      </c>
      <c r="Y246" s="84" t="str">
        <f t="array" ref="Y246">IFERROR(INDEX(DFD!$L$2:$L$1048790,MATCH($Q246,DFD!$B$2:$B$1048790,0)),"")</f>
        <v/>
      </c>
      <c r="Z246" s="84">
        <f t="shared" si="11"/>
        <v>45</v>
      </c>
      <c r="AA246" s="59"/>
      <c r="AB246" s="59" t="s">
        <v>78</v>
      </c>
      <c r="AC246" s="59"/>
      <c r="AD246" s="85">
        <v>46043.0</v>
      </c>
      <c r="AE246" s="86">
        <f t="shared" si="8"/>
        <v>1</v>
      </c>
    </row>
    <row r="247" ht="15.75" customHeight="1">
      <c r="A247" s="92" t="s">
        <v>952</v>
      </c>
      <c r="B247" s="87" t="s">
        <v>172</v>
      </c>
      <c r="C247" s="88" t="s">
        <v>953</v>
      </c>
      <c r="D247" s="88" t="s">
        <v>51</v>
      </c>
      <c r="E247" s="88">
        <v>3.0</v>
      </c>
      <c r="F247" s="89">
        <v>1050.0</v>
      </c>
      <c r="G247" s="90" t="s">
        <v>53</v>
      </c>
      <c r="H247" s="91">
        <v>46174.0</v>
      </c>
      <c r="I247" s="92" t="s">
        <v>17</v>
      </c>
      <c r="J247" s="92" t="s">
        <v>54</v>
      </c>
      <c r="K247" s="92" t="s">
        <v>66</v>
      </c>
      <c r="L247" s="92" t="s">
        <v>56</v>
      </c>
      <c r="M247" s="90" t="s">
        <v>112</v>
      </c>
      <c r="N247" s="92" t="s">
        <v>20</v>
      </c>
      <c r="O247" s="87" t="s">
        <v>69</v>
      </c>
      <c r="P247" s="87"/>
      <c r="Q247" s="87" t="s">
        <v>892</v>
      </c>
      <c r="R247" s="93" t="s">
        <v>114</v>
      </c>
      <c r="S247" s="87"/>
      <c r="T247" s="87"/>
      <c r="U247" s="94" t="str">
        <f t="array" ref="U247">IFERROR(INDEX(DFD!$D$2:$D$1048791,MATCH($Q247,DFD!$B$2:$B$1048791,0)),"")</f>
        <v/>
      </c>
      <c r="V247" s="94" t="str">
        <f t="array" ref="V247">IFERROR(INDEX(DFD!$F$2:$F$1048791,MATCH($Q247,DFD!$B$2:$B$1048791,0)),"")</f>
        <v/>
      </c>
      <c r="W247" s="97" t="str">
        <f t="array" ref="W247">IFERROR(INDEX(DFD!$E$2:$E$1048791,MATCH($Q247,DFD!$B$2:$B$1048791,0)),"")</f>
        <v/>
      </c>
      <c r="X247" s="97" t="str">
        <f t="array" ref="X247">IFERROR(INDEX(DFD!$K$2:$K$1048791,MATCH($Q247,DFD!$B$2:$B$1048791,0)),"")</f>
        <v/>
      </c>
      <c r="Y247" s="97" t="str">
        <f t="array" ref="Y247">IFERROR(INDEX(DFD!$L$2:$L$1048790,MATCH($Q247,DFD!$B$2:$B$1048790,0)),"")</f>
        <v/>
      </c>
      <c r="Z247" s="97">
        <f t="shared" si="11"/>
        <v>45</v>
      </c>
      <c r="AA247" s="87"/>
      <c r="AB247" s="87" t="s">
        <v>78</v>
      </c>
      <c r="AC247" s="87"/>
      <c r="AD247" s="99">
        <v>46043.0</v>
      </c>
      <c r="AE247" s="100">
        <f t="shared" si="8"/>
        <v>1</v>
      </c>
    </row>
    <row r="248" ht="15.75" customHeight="1">
      <c r="A248" s="67" t="s">
        <v>955</v>
      </c>
      <c r="B248" s="59" t="s">
        <v>95</v>
      </c>
      <c r="C248" s="60" t="s">
        <v>953</v>
      </c>
      <c r="D248" s="60" t="s">
        <v>51</v>
      </c>
      <c r="E248" s="60">
        <v>1.0</v>
      </c>
      <c r="F248" s="72">
        <v>350.0</v>
      </c>
      <c r="G248" s="73" t="s">
        <v>53</v>
      </c>
      <c r="H248" s="74">
        <v>46174.0</v>
      </c>
      <c r="I248" s="67" t="s">
        <v>17</v>
      </c>
      <c r="J248" s="67" t="s">
        <v>54</v>
      </c>
      <c r="K248" s="67" t="s">
        <v>66</v>
      </c>
      <c r="L248" s="67" t="s">
        <v>56</v>
      </c>
      <c r="M248" s="73" t="s">
        <v>112</v>
      </c>
      <c r="N248" s="67" t="s">
        <v>20</v>
      </c>
      <c r="O248" s="67" t="s">
        <v>89</v>
      </c>
      <c r="P248" s="59"/>
      <c r="Q248" s="59" t="s">
        <v>892</v>
      </c>
      <c r="R248" s="76" t="s">
        <v>114</v>
      </c>
      <c r="S248" s="59"/>
      <c r="T248" s="59"/>
      <c r="U248" s="77" t="str">
        <f t="array" ref="U248">IFERROR(INDEX(DFD!$D$2:$D$1048791,MATCH($Q248,DFD!$B$2:$B$1048791,0)),"")</f>
        <v/>
      </c>
      <c r="V248" s="77" t="str">
        <f t="array" ref="V248">IFERROR(INDEX(DFD!$F$2:$F$1048791,MATCH($Q248,DFD!$B$2:$B$1048791,0)),"")</f>
        <v/>
      </c>
      <c r="W248" s="84" t="str">
        <f t="array" ref="W248">IFERROR(INDEX(DFD!$E$2:$E$1048791,MATCH($Q248,DFD!$B$2:$B$1048791,0)),"")</f>
        <v/>
      </c>
      <c r="X248" s="84" t="str">
        <f t="array" ref="X248">IFERROR(INDEX(DFD!$K$2:$K$1048791,MATCH($Q248,DFD!$B$2:$B$1048791,0)),"")</f>
        <v/>
      </c>
      <c r="Y248" s="84" t="str">
        <f t="array" ref="Y248">IFERROR(INDEX(DFD!$L$2:$L$1048790,MATCH($Q248,DFD!$B$2:$B$1048790,0)),"")</f>
        <v/>
      </c>
      <c r="Z248" s="84">
        <f t="shared" si="11"/>
        <v>45</v>
      </c>
      <c r="AA248" s="59"/>
      <c r="AB248" s="59" t="s">
        <v>78</v>
      </c>
      <c r="AC248" s="59"/>
      <c r="AD248" s="85">
        <v>46043.0</v>
      </c>
      <c r="AE248" s="86">
        <f t="shared" si="8"/>
        <v>1</v>
      </c>
    </row>
    <row r="249" ht="15.75" customHeight="1">
      <c r="A249" s="92" t="s">
        <v>956</v>
      </c>
      <c r="B249" s="87" t="s">
        <v>94</v>
      </c>
      <c r="C249" s="88" t="s">
        <v>953</v>
      </c>
      <c r="D249" s="88" t="s">
        <v>51</v>
      </c>
      <c r="E249" s="88">
        <v>1.0</v>
      </c>
      <c r="F249" s="89">
        <v>350.0</v>
      </c>
      <c r="G249" s="90" t="s">
        <v>53</v>
      </c>
      <c r="H249" s="91">
        <v>46174.0</v>
      </c>
      <c r="I249" s="92" t="s">
        <v>17</v>
      </c>
      <c r="J249" s="92" t="s">
        <v>54</v>
      </c>
      <c r="K249" s="92" t="s">
        <v>66</v>
      </c>
      <c r="L249" s="92" t="s">
        <v>56</v>
      </c>
      <c r="M249" s="90" t="s">
        <v>112</v>
      </c>
      <c r="N249" s="92" t="s">
        <v>20</v>
      </c>
      <c r="O249" s="87" t="s">
        <v>69</v>
      </c>
      <c r="P249" s="87"/>
      <c r="Q249" s="87" t="s">
        <v>892</v>
      </c>
      <c r="R249" s="93" t="s">
        <v>114</v>
      </c>
      <c r="S249" s="87"/>
      <c r="T249" s="87"/>
      <c r="U249" s="94" t="str">
        <f t="array" ref="U249">IFERROR(INDEX(DFD!$D$2:$D$1048791,MATCH($Q249,DFD!$B$2:$B$1048791,0)),"")</f>
        <v/>
      </c>
      <c r="V249" s="94" t="str">
        <f t="array" ref="V249">IFERROR(INDEX(DFD!$F$2:$F$1048791,MATCH($Q249,DFD!$B$2:$B$1048791,0)),"")</f>
        <v/>
      </c>
      <c r="W249" s="97" t="str">
        <f t="array" ref="W249">IFERROR(INDEX(DFD!$E$2:$E$1048791,MATCH($Q249,DFD!$B$2:$B$1048791,0)),"")</f>
        <v/>
      </c>
      <c r="X249" s="97" t="str">
        <f t="array" ref="X249">IFERROR(INDEX(DFD!$K$2:$K$1048791,MATCH($Q249,DFD!$B$2:$B$1048791,0)),"")</f>
        <v/>
      </c>
      <c r="Y249" s="97" t="str">
        <f t="array" ref="Y249">IFERROR(INDEX(DFD!$L$2:$L$1048790,MATCH($Q249,DFD!$B$2:$B$1048790,0)),"")</f>
        <v/>
      </c>
      <c r="Z249" s="97">
        <f t="shared" si="11"/>
        <v>45</v>
      </c>
      <c r="AA249" s="87"/>
      <c r="AB249" s="87" t="s">
        <v>78</v>
      </c>
      <c r="AC249" s="87"/>
      <c r="AD249" s="99">
        <v>46043.0</v>
      </c>
      <c r="AE249" s="100">
        <f t="shared" si="8"/>
        <v>1</v>
      </c>
    </row>
    <row r="250" ht="15.75" customHeight="1">
      <c r="A250" s="67" t="s">
        <v>959</v>
      </c>
      <c r="B250" s="59" t="s">
        <v>81</v>
      </c>
      <c r="C250" s="60" t="s">
        <v>960</v>
      </c>
      <c r="D250" s="60" t="s">
        <v>51</v>
      </c>
      <c r="E250" s="60">
        <v>2.0</v>
      </c>
      <c r="F250" s="72">
        <v>300.0</v>
      </c>
      <c r="G250" s="73" t="s">
        <v>53</v>
      </c>
      <c r="H250" s="74">
        <v>46174.0</v>
      </c>
      <c r="I250" s="67" t="s">
        <v>17</v>
      </c>
      <c r="J250" s="67" t="s">
        <v>54</v>
      </c>
      <c r="K250" s="67" t="s">
        <v>66</v>
      </c>
      <c r="L250" s="67" t="s">
        <v>56</v>
      </c>
      <c r="M250" s="73" t="s">
        <v>132</v>
      </c>
      <c r="N250" s="67" t="s">
        <v>20</v>
      </c>
      <c r="O250" s="59" t="s">
        <v>69</v>
      </c>
      <c r="P250" s="59"/>
      <c r="Q250" s="59" t="s">
        <v>892</v>
      </c>
      <c r="R250" s="76" t="s">
        <v>114</v>
      </c>
      <c r="S250" s="59"/>
      <c r="T250" s="59"/>
      <c r="U250" s="77" t="str">
        <f t="array" ref="U250">IFERROR(INDEX(DFD!$D$2:$D$1048791,MATCH($Q250,DFD!$B$2:$B$1048791,0)),"")</f>
        <v/>
      </c>
      <c r="V250" s="77" t="str">
        <f t="array" ref="V250">IFERROR(INDEX(DFD!$F$2:$F$1048791,MATCH($Q250,DFD!$B$2:$B$1048791,0)),"")</f>
        <v/>
      </c>
      <c r="W250" s="84" t="str">
        <f t="array" ref="W250">IFERROR(INDEX(DFD!$E$2:$E$1048791,MATCH($Q250,DFD!$B$2:$B$1048791,0)),"")</f>
        <v/>
      </c>
      <c r="X250" s="84" t="str">
        <f t="array" ref="X250">IFERROR(INDEX(DFD!$K$2:$K$1048791,MATCH($Q250,DFD!$B$2:$B$1048791,0)),"")</f>
        <v/>
      </c>
      <c r="Y250" s="84" t="str">
        <f t="array" ref="Y250">IFERROR(INDEX(DFD!$L$2:$L$1048790,MATCH($Q250,DFD!$B$2:$B$1048790,0)),"")</f>
        <v/>
      </c>
      <c r="Z250" s="84">
        <f t="shared" si="11"/>
        <v>45</v>
      </c>
      <c r="AA250" s="59"/>
      <c r="AB250" s="59" t="s">
        <v>78</v>
      </c>
      <c r="AC250" s="59"/>
      <c r="AD250" s="85">
        <v>46043.0</v>
      </c>
      <c r="AE250" s="86">
        <f t="shared" si="8"/>
        <v>1</v>
      </c>
    </row>
    <row r="251" ht="15.75" customHeight="1">
      <c r="A251" s="92" t="s">
        <v>961</v>
      </c>
      <c r="B251" s="87" t="s">
        <v>105</v>
      </c>
      <c r="C251" s="88" t="s">
        <v>962</v>
      </c>
      <c r="D251" s="88" t="s">
        <v>51</v>
      </c>
      <c r="E251" s="88">
        <v>1.0</v>
      </c>
      <c r="F251" s="89">
        <v>450.0</v>
      </c>
      <c r="G251" s="90" t="s">
        <v>53</v>
      </c>
      <c r="H251" s="91">
        <v>46174.0</v>
      </c>
      <c r="I251" s="92" t="s">
        <v>17</v>
      </c>
      <c r="J251" s="92" t="s">
        <v>54</v>
      </c>
      <c r="K251" s="92" t="s">
        <v>66</v>
      </c>
      <c r="L251" s="92" t="s">
        <v>56</v>
      </c>
      <c r="M251" s="90" t="s">
        <v>167</v>
      </c>
      <c r="N251" s="92" t="s">
        <v>20</v>
      </c>
      <c r="O251" s="92" t="s">
        <v>89</v>
      </c>
      <c r="P251" s="87"/>
      <c r="Q251" s="87" t="s">
        <v>892</v>
      </c>
      <c r="R251" s="93" t="s">
        <v>114</v>
      </c>
      <c r="S251" s="87"/>
      <c r="T251" s="87"/>
      <c r="U251" s="94" t="str">
        <f t="array" ref="U251">IFERROR(INDEX(DFD!$D$2:$D$1048791,MATCH($Q253,DFD!$B$2:$B$1048791,0)),"")</f>
        <v/>
      </c>
      <c r="V251" s="94" t="str">
        <f t="array" ref="V251">IFERROR(INDEX(DFD!$F$2:$F$1048791,MATCH($Q253,DFD!$B$2:$B$1048791,0)),"")</f>
        <v/>
      </c>
      <c r="W251" s="97" t="str">
        <f t="array" ref="W251">IFERROR(INDEX(DFD!$E$2:$E$1048791,MATCH($Q253,DFD!$B$2:$B$1048791,0)),"")</f>
        <v/>
      </c>
      <c r="X251" s="97" t="str">
        <f t="array" ref="X251">IFERROR(INDEX(DFD!$K$2:$K$1048791,MATCH($Q253,DFD!$B$2:$B$1048791,0)),"")</f>
        <v/>
      </c>
      <c r="Y251" s="97" t="str">
        <f t="array" ref="Y251">IFERROR(INDEX(DFD!$L$2:$L$1048790,MATCH($Q253,DFD!$B$2:$B$1048790,0)),"")</f>
        <v/>
      </c>
      <c r="Z251" s="97">
        <f t="shared" si="11"/>
        <v>45</v>
      </c>
      <c r="AA251" s="87"/>
      <c r="AB251" s="87" t="s">
        <v>78</v>
      </c>
      <c r="AC251" s="87"/>
      <c r="AD251" s="99">
        <v>46043.0</v>
      </c>
      <c r="AE251" s="100">
        <f t="shared" si="8"/>
        <v>1</v>
      </c>
    </row>
    <row r="252" ht="15.75" customHeight="1">
      <c r="A252" s="67" t="s">
        <v>963</v>
      </c>
      <c r="B252" s="59" t="s">
        <v>64</v>
      </c>
      <c r="C252" s="60" t="s">
        <v>964</v>
      </c>
      <c r="D252" s="60" t="s">
        <v>51</v>
      </c>
      <c r="E252" s="60">
        <v>4.0</v>
      </c>
      <c r="F252" s="72">
        <v>400.0</v>
      </c>
      <c r="G252" s="73" t="s">
        <v>53</v>
      </c>
      <c r="H252" s="74">
        <v>46174.0</v>
      </c>
      <c r="I252" s="67" t="s">
        <v>17</v>
      </c>
      <c r="J252" s="67" t="s">
        <v>54</v>
      </c>
      <c r="K252" s="67" t="s">
        <v>66</v>
      </c>
      <c r="L252" s="67" t="s">
        <v>56</v>
      </c>
      <c r="M252" s="73" t="s">
        <v>132</v>
      </c>
      <c r="N252" s="67" t="s">
        <v>20</v>
      </c>
      <c r="O252" s="59" t="s">
        <v>69</v>
      </c>
      <c r="P252" s="59"/>
      <c r="Q252" s="59" t="s">
        <v>118</v>
      </c>
      <c r="R252" s="76" t="s">
        <v>181</v>
      </c>
      <c r="S252" s="59"/>
      <c r="T252" s="59"/>
      <c r="U252" s="77" t="str">
        <f t="array" ref="U252">IFERROR(INDEX(DFD!$D$2:$D$1048791,MATCH($Q252,DFD!$B$2:$B$1048791,0)),"")</f>
        <v/>
      </c>
      <c r="V252" s="77" t="str">
        <f t="array" ref="V252">IFERROR(INDEX(DFD!$F$2:$F$1048791,MATCH($Q252,DFD!$B$2:$B$1048791,0)),"")</f>
        <v/>
      </c>
      <c r="W252" s="84" t="str">
        <f t="array" ref="W252">IFERROR(INDEX(DFD!$E$2:$E$1048791,MATCH($Q252,DFD!$B$2:$B$1048791,0)),"")</f>
        <v/>
      </c>
      <c r="X252" s="84" t="str">
        <f t="array" ref="X252">IFERROR(INDEX(DFD!$K$2:$K$1048791,MATCH($Q252,DFD!$B$2:$B$1048791,0)),"")</f>
        <v/>
      </c>
      <c r="Y252" s="84" t="str">
        <f t="array" ref="Y252">IFERROR(INDEX(DFD!$L$2:$L$1048790,MATCH($Q252,DFD!$B$2:$B$1048790,0)),"")</f>
        <v/>
      </c>
      <c r="Z252" s="84">
        <f t="shared" si="11"/>
        <v>45</v>
      </c>
      <c r="AA252" s="59"/>
      <c r="AB252" s="59" t="s">
        <v>78</v>
      </c>
      <c r="AC252" s="59"/>
      <c r="AD252" s="85">
        <v>46043.0</v>
      </c>
      <c r="AE252" s="86">
        <f t="shared" si="8"/>
        <v>1</v>
      </c>
    </row>
    <row r="253" ht="15.75" customHeight="1">
      <c r="A253" s="87" t="s">
        <v>965</v>
      </c>
      <c r="B253" s="87" t="s">
        <v>101</v>
      </c>
      <c r="C253" s="88" t="s">
        <v>964</v>
      </c>
      <c r="D253" s="88" t="s">
        <v>51</v>
      </c>
      <c r="E253" s="88">
        <v>2.0</v>
      </c>
      <c r="F253" s="89">
        <v>200.0</v>
      </c>
      <c r="G253" s="90" t="s">
        <v>53</v>
      </c>
      <c r="H253" s="91">
        <v>46143.0</v>
      </c>
      <c r="I253" s="92" t="s">
        <v>17</v>
      </c>
      <c r="J253" s="92" t="s">
        <v>54</v>
      </c>
      <c r="K253" s="92" t="s">
        <v>66</v>
      </c>
      <c r="L253" s="92" t="s">
        <v>56</v>
      </c>
      <c r="M253" s="90" t="s">
        <v>68</v>
      </c>
      <c r="N253" s="92" t="s">
        <v>58</v>
      </c>
      <c r="O253" s="87" t="s">
        <v>69</v>
      </c>
      <c r="P253" s="87"/>
      <c r="Q253" s="87" t="s">
        <v>118</v>
      </c>
      <c r="R253" s="93" t="s">
        <v>181</v>
      </c>
      <c r="S253" s="87"/>
      <c r="T253" s="87"/>
      <c r="U253" s="94" t="str">
        <f t="array" ref="U253">IFERROR(INDEX(DFD!$D$2:$D$1048791,MATCH($Q253,DFD!$B$2:$B$1048791,0)),"")</f>
        <v/>
      </c>
      <c r="V253" s="94" t="str">
        <f t="array" ref="V253">IFERROR(INDEX(DFD!$F$2:$F$1048791,MATCH($Q253,DFD!$B$2:$B$1048791,0)),"")</f>
        <v/>
      </c>
      <c r="W253" s="97" t="str">
        <f t="array" ref="W253">IFERROR(INDEX(DFD!$E$2:$E$1048791,MATCH($Q253,DFD!$B$2:$B$1048791,0)),"")</f>
        <v/>
      </c>
      <c r="X253" s="97" t="str">
        <f t="array" ref="X253">IFERROR(INDEX(DFD!$K$2:$K$1048791,MATCH($Q253,DFD!$B$2:$B$1048791,0)),"")</f>
        <v/>
      </c>
      <c r="Y253" s="97" t="str">
        <f t="array" ref="Y253">IFERROR(INDEX(DFD!$L$2:$L$1048790,MATCH($Q253,DFD!$B$2:$B$1048790,0)),"")</f>
        <v/>
      </c>
      <c r="Z253" s="97">
        <f t="shared" si="11"/>
        <v>45</v>
      </c>
      <c r="AA253" s="87"/>
      <c r="AB253" s="87" t="s">
        <v>78</v>
      </c>
      <c r="AC253" s="87"/>
      <c r="AD253" s="99">
        <v>46043.0</v>
      </c>
      <c r="AE253" s="100">
        <f t="shared" si="8"/>
        <v>1</v>
      </c>
    </row>
    <row r="254" ht="15.75" customHeight="1">
      <c r="A254" s="150" t="s">
        <v>966</v>
      </c>
      <c r="B254" s="150" t="s">
        <v>101</v>
      </c>
      <c r="C254" s="151" t="s">
        <v>967</v>
      </c>
      <c r="D254" s="151" t="s">
        <v>51</v>
      </c>
      <c r="E254" s="151">
        <v>2.0</v>
      </c>
      <c r="F254" s="152">
        <v>1224.0</v>
      </c>
      <c r="G254" s="153" t="s">
        <v>53</v>
      </c>
      <c r="H254" s="154">
        <v>46174.0</v>
      </c>
      <c r="I254" s="155" t="s">
        <v>17</v>
      </c>
      <c r="J254" s="155" t="s">
        <v>54</v>
      </c>
      <c r="K254" s="155" t="s">
        <v>66</v>
      </c>
      <c r="L254" s="155" t="s">
        <v>56</v>
      </c>
      <c r="M254" s="73" t="s">
        <v>132</v>
      </c>
      <c r="N254" s="155" t="s">
        <v>58</v>
      </c>
      <c r="O254" s="67" t="s">
        <v>89</v>
      </c>
      <c r="P254" s="150"/>
      <c r="Q254" s="150" t="s">
        <v>124</v>
      </c>
      <c r="R254" s="156" t="s">
        <v>616</v>
      </c>
      <c r="S254" s="150"/>
      <c r="T254" s="150"/>
      <c r="U254" s="157" t="str">
        <f t="array" ref="U254">IFERROR(INDEX(DFD!$D$2:$D$1048791,MATCH($Q254,DFD!$B$2:$B$1048791,0)),"")</f>
        <v/>
      </c>
      <c r="V254" s="157" t="str">
        <f t="array" ref="V254">IFERROR(INDEX(DFD!$F$2:$F$1048791,MATCH($Q254,DFD!$B$2:$B$1048791,0)),"")</f>
        <v/>
      </c>
      <c r="W254" s="158" t="str">
        <f t="array" ref="W254">IFERROR(INDEX(DFD!$E$2:$E$1048791,MATCH($Q254,DFD!$B$2:$B$1048791,0)),"")</f>
        <v/>
      </c>
      <c r="X254" s="158" t="str">
        <f t="array" ref="X254">IFERROR(INDEX(DFD!$K$2:$K$1048791,MATCH($Q254,DFD!$B$2:$B$1048791,0)),"")</f>
        <v/>
      </c>
      <c r="Y254" s="158" t="str">
        <f t="array" ref="Y254">IFERROR(INDEX(DFD!$L$2:$L$1048790,MATCH($Q254,DFD!$B$2:$B$1048790,0)),"")</f>
        <v/>
      </c>
      <c r="Z254" s="158">
        <f t="shared" si="11"/>
        <v>45</v>
      </c>
      <c r="AA254" s="150"/>
      <c r="AB254" s="150" t="s">
        <v>78</v>
      </c>
      <c r="AC254" s="150"/>
      <c r="AD254" s="159">
        <v>46043.0</v>
      </c>
      <c r="AE254" s="160">
        <f t="shared" si="8"/>
        <v>1</v>
      </c>
    </row>
    <row r="255" ht="15.75" customHeight="1">
      <c r="A255" s="92" t="s">
        <v>968</v>
      </c>
      <c r="B255" s="87" t="s">
        <v>184</v>
      </c>
      <c r="C255" s="88" t="s">
        <v>969</v>
      </c>
      <c r="D255" s="88" t="s">
        <v>51</v>
      </c>
      <c r="E255" s="88">
        <v>100.0</v>
      </c>
      <c r="F255" s="89">
        <v>2500.0</v>
      </c>
      <c r="G255" s="90" t="s">
        <v>53</v>
      </c>
      <c r="H255" s="91">
        <v>46174.0</v>
      </c>
      <c r="I255" s="92" t="s">
        <v>17</v>
      </c>
      <c r="J255" s="92" t="s">
        <v>54</v>
      </c>
      <c r="K255" s="92" t="s">
        <v>66</v>
      </c>
      <c r="L255" s="92" t="s">
        <v>67</v>
      </c>
      <c r="M255" s="90" t="s">
        <v>68</v>
      </c>
      <c r="N255" s="92" t="s">
        <v>20</v>
      </c>
      <c r="O255" s="87" t="s">
        <v>69</v>
      </c>
      <c r="P255" s="87"/>
      <c r="Q255" s="87" t="s">
        <v>970</v>
      </c>
      <c r="R255" s="93" t="s">
        <v>187</v>
      </c>
      <c r="S255" s="87"/>
      <c r="T255" s="87"/>
      <c r="U255" s="94" t="str">
        <f t="array" ref="U255">IFERROR(INDEX(DFD!$D$2:$D$1048791,MATCH($Q255,DFD!$B$2:$B$1048791,0)),"")</f>
        <v/>
      </c>
      <c r="V255" s="94" t="s">
        <v>280</v>
      </c>
      <c r="W255" s="97" t="str">
        <f t="array" ref="W255">IFERROR(INDEX(DFD!$E$2:$E$1048791,MATCH($Q255,DFD!$B$2:$B$1048791,0)),"")</f>
        <v/>
      </c>
      <c r="X255" s="97" t="str">
        <f t="array" ref="X255">IFERROR(INDEX(DFD!$K$2:$K$1048791,MATCH($Q255,DFD!$B$2:$B$1048791,0)),"")</f>
        <v/>
      </c>
      <c r="Y255" s="97" t="str">
        <f t="array" ref="Y255">IFERROR(INDEX(DFD!$L$2:$L$1048790,MATCH($Q255,DFD!$B$2:$B$1048790,0)),"")</f>
        <v/>
      </c>
      <c r="Z255" s="97">
        <f t="shared" si="11"/>
        <v>45</v>
      </c>
      <c r="AA255" s="87"/>
      <c r="AB255" s="87" t="s">
        <v>78</v>
      </c>
      <c r="AC255" s="87"/>
      <c r="AD255" s="99">
        <v>46043.0</v>
      </c>
      <c r="AE255" s="100">
        <f t="shared" si="8"/>
        <v>1</v>
      </c>
    </row>
    <row r="256" ht="15.75" customHeight="1">
      <c r="A256" s="161" t="s">
        <v>971</v>
      </c>
      <c r="B256" s="59" t="s">
        <v>52</v>
      </c>
      <c r="C256" s="60" t="s">
        <v>972</v>
      </c>
      <c r="D256" s="60" t="s">
        <v>51</v>
      </c>
      <c r="E256" s="60">
        <v>5000.0</v>
      </c>
      <c r="F256" s="72">
        <v>556183.4</v>
      </c>
      <c r="G256" s="73" t="s">
        <v>437</v>
      </c>
      <c r="H256" s="74">
        <v>46266.0</v>
      </c>
      <c r="I256" s="67" t="s">
        <v>17</v>
      </c>
      <c r="J256" s="67" t="s">
        <v>54</v>
      </c>
      <c r="K256" s="67" t="s">
        <v>721</v>
      </c>
      <c r="L256" s="67" t="s">
        <v>56</v>
      </c>
      <c r="M256" s="73" t="s">
        <v>112</v>
      </c>
      <c r="N256" s="67" t="s">
        <v>58</v>
      </c>
      <c r="O256" s="59" t="s">
        <v>69</v>
      </c>
      <c r="P256" s="59"/>
      <c r="Q256" s="59" t="s">
        <v>52</v>
      </c>
      <c r="R256" s="76" t="s">
        <v>140</v>
      </c>
      <c r="S256" s="59"/>
      <c r="T256" s="59"/>
      <c r="U256" s="77" t="str">
        <f t="array" ref="U256">IFERROR(INDEX(DFD!$D$2:$D$1048791,MATCH($Q256,DFD!$B$2:$B$1048791,0)),"")</f>
        <v/>
      </c>
      <c r="V256" s="77" t="str">
        <f t="array" ref="V256">IFERROR(INDEX(DFD!$F$2:$F$1048791,MATCH($Q256,DFD!$B$2:$B$1048791,0)),"")</f>
        <v/>
      </c>
      <c r="W256" s="84" t="str">
        <f t="array" ref="W256">IFERROR(INDEX(DFD!$E$2:$E$1048791,MATCH($Q256,DFD!$B$2:$B$1048791,0)),"")</f>
        <v/>
      </c>
      <c r="X256" s="84" t="str">
        <f t="array" ref="X256">IFERROR(INDEX(DFD!$K$2:$K$1048791,MATCH($Q256,DFD!$B$2:$B$1048791,0)),"")</f>
        <v/>
      </c>
      <c r="Y256" s="84" t="str">
        <f t="array" ref="Y256">IFERROR(INDEX(DFD!$L$2:$L$1048790,MATCH($Q256,DFD!$B$2:$B$1048790,0)),"")</f>
        <v/>
      </c>
      <c r="Z256" s="84">
        <f t="shared" si="11"/>
        <v>45</v>
      </c>
      <c r="AA256" s="59"/>
      <c r="AB256" s="59" t="s">
        <v>72</v>
      </c>
      <c r="AC256" s="59"/>
      <c r="AD256" s="85">
        <v>46043.0</v>
      </c>
      <c r="AE256" s="86">
        <f t="shared" si="8"/>
        <v>1</v>
      </c>
    </row>
    <row r="257" ht="15.75" customHeight="1">
      <c r="A257" s="92" t="s">
        <v>975</v>
      </c>
      <c r="B257" s="87" t="s">
        <v>107</v>
      </c>
      <c r="C257" s="88" t="s">
        <v>976</v>
      </c>
      <c r="D257" s="88" t="s">
        <v>51</v>
      </c>
      <c r="E257" s="88">
        <v>2.0</v>
      </c>
      <c r="F257" s="89">
        <v>300.0</v>
      </c>
      <c r="G257" s="90" t="s">
        <v>53</v>
      </c>
      <c r="H257" s="91">
        <v>46174.0</v>
      </c>
      <c r="I257" s="92" t="s">
        <v>17</v>
      </c>
      <c r="J257" s="92" t="s">
        <v>54</v>
      </c>
      <c r="K257" s="92" t="s">
        <v>66</v>
      </c>
      <c r="L257" s="92" t="s">
        <v>56</v>
      </c>
      <c r="M257" s="90" t="s">
        <v>117</v>
      </c>
      <c r="N257" s="92" t="s">
        <v>20</v>
      </c>
      <c r="O257" s="92" t="s">
        <v>89</v>
      </c>
      <c r="P257" s="87"/>
      <c r="Q257" s="87" t="s">
        <v>214</v>
      </c>
      <c r="R257" s="93" t="s">
        <v>217</v>
      </c>
      <c r="S257" s="87"/>
      <c r="T257" s="87"/>
      <c r="U257" s="94" t="str">
        <f t="array" ref="U257">IFERROR(INDEX(DFD!$D$2:$D$1048791,MATCH($Q257,DFD!$B$2:$B$1048791,0)),"")</f>
        <v/>
      </c>
      <c r="V257" s="94" t="str">
        <f t="array" ref="V257">IFERROR(INDEX(DFD!$F$2:$F$1048791,MATCH($Q257,DFD!$B$2:$B$1048791,0)),"")</f>
        <v/>
      </c>
      <c r="W257" s="97" t="str">
        <f t="array" ref="W257">IFERROR(INDEX(DFD!$E$2:$E$1048791,MATCH($Q257,DFD!$B$2:$B$1048791,0)),"")</f>
        <v/>
      </c>
      <c r="X257" s="97" t="str">
        <f t="array" ref="X257">IFERROR(INDEX(DFD!$K$2:$K$1048791,MATCH($Q257,DFD!$B$2:$B$1048791,0)),"")</f>
        <v/>
      </c>
      <c r="Y257" s="97" t="str">
        <f t="array" ref="Y257">IFERROR(INDEX(DFD!$L$2:$L$1048790,MATCH($Q257,DFD!$B$2:$B$1048790,0)),"")</f>
        <v/>
      </c>
      <c r="Z257" s="97">
        <f t="shared" si="11"/>
        <v>45</v>
      </c>
      <c r="AA257" s="87"/>
      <c r="AB257" s="87" t="s">
        <v>78</v>
      </c>
      <c r="AC257" s="87"/>
      <c r="AD257" s="99">
        <v>46043.0</v>
      </c>
      <c r="AE257" s="100">
        <f t="shared" si="8"/>
        <v>1</v>
      </c>
    </row>
    <row r="258" ht="15.75" customHeight="1">
      <c r="A258" s="67" t="s">
        <v>977</v>
      </c>
      <c r="B258" s="67" t="s">
        <v>107</v>
      </c>
      <c r="C258" s="60" t="s">
        <v>976</v>
      </c>
      <c r="D258" s="81" t="s">
        <v>51</v>
      </c>
      <c r="E258" s="81">
        <v>2.0</v>
      </c>
      <c r="F258" s="101">
        <v>300.0</v>
      </c>
      <c r="G258" s="73" t="s">
        <v>53</v>
      </c>
      <c r="H258" s="83">
        <v>46174.0</v>
      </c>
      <c r="I258" s="67" t="s">
        <v>17</v>
      </c>
      <c r="J258" s="67" t="s">
        <v>54</v>
      </c>
      <c r="K258" s="67" t="s">
        <v>66</v>
      </c>
      <c r="L258" s="67" t="s">
        <v>56</v>
      </c>
      <c r="M258" s="73" t="s">
        <v>68</v>
      </c>
      <c r="N258" s="67" t="s">
        <v>20</v>
      </c>
      <c r="O258" s="59" t="s">
        <v>69</v>
      </c>
      <c r="P258" s="59"/>
      <c r="Q258" s="59" t="s">
        <v>214</v>
      </c>
      <c r="R258" s="76" t="s">
        <v>217</v>
      </c>
      <c r="S258" s="59"/>
      <c r="T258" s="59"/>
      <c r="U258" s="77" t="str">
        <f t="array" ref="U258">IFERROR(INDEX(DFD!$D$2:$D$1048791,MATCH($Q258,DFD!$B$2:$B$1048791,0)),"")</f>
        <v/>
      </c>
      <c r="V258" s="77" t="str">
        <f t="array" ref="V258">IFERROR(INDEX(DFD!$F$2:$F$1048791,MATCH($Q258,DFD!$B$2:$B$1048791,0)),"")</f>
        <v/>
      </c>
      <c r="W258" s="84" t="str">
        <f t="array" ref="W258">IFERROR(INDEX(DFD!$E$2:$E$1048791,MATCH($Q258,DFD!$B$2:$B$1048791,0)),"")</f>
        <v/>
      </c>
      <c r="X258" s="84" t="str">
        <f t="array" ref="X258">IFERROR(INDEX(DFD!$K$2:$K$1048791,MATCH($Q258,DFD!$B$2:$B$1048791,0)),"")</f>
        <v/>
      </c>
      <c r="Y258" s="84" t="str">
        <f t="array" ref="Y258">IFERROR(INDEX(DFD!$L$2:$L$1048790,MATCH($Q258,DFD!$B$2:$B$1048790,0)),"")</f>
        <v/>
      </c>
      <c r="Z258" s="84">
        <f t="shared" si="11"/>
        <v>45</v>
      </c>
      <c r="AA258" s="59"/>
      <c r="AB258" s="59" t="s">
        <v>78</v>
      </c>
      <c r="AC258" s="59"/>
      <c r="AD258" s="85">
        <v>46043.0</v>
      </c>
      <c r="AE258" s="86">
        <f t="shared" si="8"/>
        <v>1</v>
      </c>
    </row>
    <row r="259" ht="15.75" customHeight="1">
      <c r="A259" s="92" t="s">
        <v>978</v>
      </c>
      <c r="B259" s="87" t="s">
        <v>101</v>
      </c>
      <c r="C259" s="88" t="s">
        <v>979</v>
      </c>
      <c r="D259" s="88" t="s">
        <v>51</v>
      </c>
      <c r="E259" s="88">
        <v>6.0</v>
      </c>
      <c r="F259" s="89">
        <v>1080.0</v>
      </c>
      <c r="G259" s="90" t="s">
        <v>53</v>
      </c>
      <c r="H259" s="91">
        <v>46174.0</v>
      </c>
      <c r="I259" s="92" t="s">
        <v>17</v>
      </c>
      <c r="J259" s="92" t="s">
        <v>54</v>
      </c>
      <c r="K259" s="92" t="s">
        <v>66</v>
      </c>
      <c r="L259" s="92" t="s">
        <v>56</v>
      </c>
      <c r="M259" s="90" t="s">
        <v>104</v>
      </c>
      <c r="N259" s="92" t="s">
        <v>20</v>
      </c>
      <c r="O259" s="87" t="s">
        <v>69</v>
      </c>
      <c r="P259" s="87"/>
      <c r="Q259" s="87" t="s">
        <v>980</v>
      </c>
      <c r="R259" s="93" t="s">
        <v>402</v>
      </c>
      <c r="S259" s="87"/>
      <c r="T259" s="87"/>
      <c r="U259" s="94" t="str">
        <f t="array" ref="U259">IFERROR(INDEX(DFD!$D$2:$D$1048791,MATCH($Q259,DFD!$B$2:$B$1048791,0)),"")</f>
        <v/>
      </c>
      <c r="V259" s="94" t="str">
        <f t="array" ref="V259">IFERROR(INDEX(DFD!$F$2:$F$1048791,MATCH($Q259,DFD!$B$2:$B$1048791,0)),"")</f>
        <v/>
      </c>
      <c r="W259" s="97" t="str">
        <f t="array" ref="W259">IFERROR(INDEX(DFD!$E$2:$E$1048791,MATCH($Q259,DFD!$B$2:$B$1048791,0)),"")</f>
        <v/>
      </c>
      <c r="X259" s="97" t="str">
        <f t="array" ref="X259">IFERROR(INDEX(DFD!$K$2:$K$1048791,MATCH($Q259,DFD!$B$2:$B$1048791,0)),"")</f>
        <v/>
      </c>
      <c r="Y259" s="97" t="str">
        <f t="array" ref="Y259">IFERROR(INDEX(DFD!$L$2:$L$1048790,MATCH($Q259,DFD!$B$2:$B$1048790,0)),"")</f>
        <v/>
      </c>
      <c r="Z259" s="97">
        <f t="shared" si="11"/>
        <v>45</v>
      </c>
      <c r="AA259" s="87"/>
      <c r="AB259" s="87" t="s">
        <v>78</v>
      </c>
      <c r="AC259" s="87"/>
      <c r="AD259" s="99">
        <v>46043.0</v>
      </c>
      <c r="AE259" s="100">
        <f t="shared" si="8"/>
        <v>1</v>
      </c>
    </row>
    <row r="260" ht="15.75" customHeight="1">
      <c r="A260" s="67" t="s">
        <v>981</v>
      </c>
      <c r="B260" s="59" t="s">
        <v>101</v>
      </c>
      <c r="C260" s="60" t="s">
        <v>982</v>
      </c>
      <c r="D260" s="60" t="s">
        <v>51</v>
      </c>
      <c r="E260" s="60">
        <v>1200.0</v>
      </c>
      <c r="F260" s="72">
        <v>60000.0</v>
      </c>
      <c r="G260" s="73" t="s">
        <v>53</v>
      </c>
      <c r="H260" s="74">
        <v>46266.0</v>
      </c>
      <c r="I260" s="67" t="s">
        <v>17</v>
      </c>
      <c r="J260" s="67" t="s">
        <v>54</v>
      </c>
      <c r="K260" s="67" t="s">
        <v>66</v>
      </c>
      <c r="L260" s="67" t="s">
        <v>56</v>
      </c>
      <c r="M260" s="73" t="s">
        <v>68</v>
      </c>
      <c r="N260" s="67" t="s">
        <v>20</v>
      </c>
      <c r="O260" s="67" t="s">
        <v>89</v>
      </c>
      <c r="P260" s="59"/>
      <c r="Q260" s="59" t="s">
        <v>980</v>
      </c>
      <c r="R260" s="76" t="s">
        <v>402</v>
      </c>
      <c r="S260" s="59"/>
      <c r="T260" s="59"/>
      <c r="U260" s="77" t="str">
        <f t="array" ref="U260">IFERROR(INDEX(DFD!$D$2:$D$1048791,MATCH($Q260,DFD!$B$2:$B$1048791,0)),"")</f>
        <v/>
      </c>
      <c r="V260" s="77" t="str">
        <f t="array" ref="V260">IFERROR(INDEX(DFD!$F$2:$F$1048791,MATCH($Q260,DFD!$B$2:$B$1048791,0)),"")</f>
        <v/>
      </c>
      <c r="W260" s="84" t="str">
        <f t="array" ref="W260">IFERROR(INDEX(DFD!$E$2:$E$1048791,MATCH($Q260,DFD!$B$2:$B$1048791,0)),"")</f>
        <v/>
      </c>
      <c r="X260" s="84" t="str">
        <f t="array" ref="X260">IFERROR(INDEX(DFD!$K$2:$K$1048791,MATCH($Q260,DFD!$B$2:$B$1048791,0)),"")</f>
        <v/>
      </c>
      <c r="Y260" s="84" t="str">
        <f t="array" ref="Y260">IFERROR(INDEX(DFD!$L$2:$L$1048790,MATCH($Q260,DFD!$B$2:$B$1048790,0)),"")</f>
        <v/>
      </c>
      <c r="Z260" s="84">
        <f t="shared" si="11"/>
        <v>45</v>
      </c>
      <c r="AA260" s="59"/>
      <c r="AB260" s="59" t="s">
        <v>78</v>
      </c>
      <c r="AC260" s="59"/>
      <c r="AD260" s="85">
        <v>46043.0</v>
      </c>
      <c r="AE260" s="86">
        <f t="shared" si="8"/>
        <v>1</v>
      </c>
    </row>
    <row r="261" ht="15.75" customHeight="1">
      <c r="A261" s="87" t="s">
        <v>985</v>
      </c>
      <c r="B261" s="87" t="s">
        <v>105</v>
      </c>
      <c r="C261" s="88" t="s">
        <v>986</v>
      </c>
      <c r="D261" s="88" t="s">
        <v>51</v>
      </c>
      <c r="E261" s="88">
        <v>50.0</v>
      </c>
      <c r="F261" s="89">
        <v>850.0</v>
      </c>
      <c r="G261" s="90" t="s">
        <v>53</v>
      </c>
      <c r="H261" s="91">
        <v>46174.0</v>
      </c>
      <c r="I261" s="92" t="s">
        <v>17</v>
      </c>
      <c r="J261" s="92" t="s">
        <v>54</v>
      </c>
      <c r="K261" s="92" t="s">
        <v>66</v>
      </c>
      <c r="L261" s="92" t="s">
        <v>67</v>
      </c>
      <c r="M261" s="90" t="s">
        <v>104</v>
      </c>
      <c r="N261" s="92" t="s">
        <v>58</v>
      </c>
      <c r="O261" s="87" t="s">
        <v>69</v>
      </c>
      <c r="P261" s="87"/>
      <c r="Q261" s="87" t="s">
        <v>667</v>
      </c>
      <c r="R261" s="93" t="s">
        <v>71</v>
      </c>
      <c r="S261" s="87"/>
      <c r="T261" s="87"/>
      <c r="U261" s="94" t="str">
        <f t="array" ref="U261">IFERROR(INDEX(DFD!$D$2:$D$1048791,MATCH($Q261,DFD!$B$2:$B$1048791,0)),"")</f>
        <v/>
      </c>
      <c r="V261" s="94" t="str">
        <f t="array" ref="V261">IFERROR(INDEX(DFD!$F$2:$F$1048791,MATCH($Q261,DFD!$B$2:$B$1048791,0)),"")</f>
        <v/>
      </c>
      <c r="W261" s="97" t="str">
        <f t="array" ref="W261">IFERROR(INDEX(DFD!$E$2:$E$1048791,MATCH($Q261,DFD!$B$2:$B$1048791,0)),"")</f>
        <v/>
      </c>
      <c r="X261" s="97" t="str">
        <f t="array" ref="X261">IFERROR(INDEX(DFD!$K$2:$K$1048791,MATCH($Q261,DFD!$B$2:$B$1048791,0)),"")</f>
        <v/>
      </c>
      <c r="Y261" s="97" t="str">
        <f t="array" ref="Y261">IFERROR(INDEX(DFD!$L$2:$L$1048790,MATCH($Q261,DFD!$B$2:$B$1048790,0)),"")</f>
        <v/>
      </c>
      <c r="Z261" s="97">
        <f t="shared" si="11"/>
        <v>45</v>
      </c>
      <c r="AA261" s="87"/>
      <c r="AB261" s="87" t="s">
        <v>78</v>
      </c>
      <c r="AC261" s="87"/>
      <c r="AD261" s="99">
        <v>46043.0</v>
      </c>
      <c r="AE261" s="100">
        <f t="shared" si="8"/>
        <v>1</v>
      </c>
    </row>
    <row r="262" ht="15.75" customHeight="1">
      <c r="A262" s="59" t="s">
        <v>989</v>
      </c>
      <c r="B262" s="59" t="s">
        <v>123</v>
      </c>
      <c r="C262" s="60" t="s">
        <v>986</v>
      </c>
      <c r="D262" s="60" t="s">
        <v>51</v>
      </c>
      <c r="E262" s="60">
        <v>50.0</v>
      </c>
      <c r="F262" s="72">
        <v>850.0</v>
      </c>
      <c r="G262" s="73" t="s">
        <v>53</v>
      </c>
      <c r="H262" s="74">
        <v>46174.0</v>
      </c>
      <c r="I262" s="67" t="s">
        <v>17</v>
      </c>
      <c r="J262" s="67" t="s">
        <v>54</v>
      </c>
      <c r="K262" s="67" t="s">
        <v>66</v>
      </c>
      <c r="L262" s="67" t="s">
        <v>67</v>
      </c>
      <c r="M262" s="73" t="s">
        <v>112</v>
      </c>
      <c r="N262" s="67" t="s">
        <v>58</v>
      </c>
      <c r="O262" s="59" t="s">
        <v>69</v>
      </c>
      <c r="P262" s="59"/>
      <c r="Q262" s="59" t="s">
        <v>667</v>
      </c>
      <c r="R262" s="76" t="s">
        <v>71</v>
      </c>
      <c r="S262" s="59"/>
      <c r="T262" s="59"/>
      <c r="U262" s="77" t="str">
        <f t="array" ref="U262">IFERROR(INDEX(DFD!$D$2:$D$1048791,MATCH($Q262,DFD!$B$2:$B$1048791,0)),"")</f>
        <v/>
      </c>
      <c r="V262" s="77" t="str">
        <f t="array" ref="V262">IFERROR(INDEX(DFD!$F$2:$F$1048791,MATCH($Q262,DFD!$B$2:$B$1048791,0)),"")</f>
        <v/>
      </c>
      <c r="W262" s="84" t="str">
        <f t="array" ref="W262">IFERROR(INDEX(DFD!$E$2:$E$1048791,MATCH($Q262,DFD!$B$2:$B$1048791,0)),"")</f>
        <v/>
      </c>
      <c r="X262" s="84" t="str">
        <f t="array" ref="X262">IFERROR(INDEX(DFD!$K$2:$K$1048791,MATCH($Q262,DFD!$B$2:$B$1048791,0)),"")</f>
        <v/>
      </c>
      <c r="Y262" s="84" t="str">
        <f t="array" ref="Y262">IFERROR(INDEX(DFD!$L$2:$L$1048790,MATCH($Q262,DFD!$B$2:$B$1048790,0)),"")</f>
        <v/>
      </c>
      <c r="Z262" s="84">
        <f t="shared" si="11"/>
        <v>45</v>
      </c>
      <c r="AA262" s="59"/>
      <c r="AB262" s="59" t="s">
        <v>78</v>
      </c>
      <c r="AC262" s="59"/>
      <c r="AD262" s="85">
        <v>46043.0</v>
      </c>
      <c r="AE262" s="86">
        <f t="shared" si="8"/>
        <v>1</v>
      </c>
    </row>
    <row r="263" ht="15.75" customHeight="1">
      <c r="A263" s="87" t="s">
        <v>990</v>
      </c>
      <c r="B263" s="87" t="s">
        <v>101</v>
      </c>
      <c r="C263" s="88" t="s">
        <v>991</v>
      </c>
      <c r="D263" s="88" t="s">
        <v>51</v>
      </c>
      <c r="E263" s="88">
        <v>60.0</v>
      </c>
      <c r="F263" s="89">
        <v>2160.0</v>
      </c>
      <c r="G263" s="90" t="s">
        <v>53</v>
      </c>
      <c r="H263" s="91">
        <v>46174.0</v>
      </c>
      <c r="I263" s="92" t="s">
        <v>17</v>
      </c>
      <c r="J263" s="92" t="s">
        <v>54</v>
      </c>
      <c r="K263" s="92" t="s">
        <v>66</v>
      </c>
      <c r="L263" s="92" t="s">
        <v>56</v>
      </c>
      <c r="M263" s="90" t="s">
        <v>167</v>
      </c>
      <c r="N263" s="92" t="s">
        <v>58</v>
      </c>
      <c r="O263" s="92" t="s">
        <v>89</v>
      </c>
      <c r="P263" s="87"/>
      <c r="Q263" s="87" t="s">
        <v>667</v>
      </c>
      <c r="R263" s="93" t="s">
        <v>71</v>
      </c>
      <c r="S263" s="87"/>
      <c r="T263" s="87"/>
      <c r="U263" s="94" t="str">
        <f t="array" ref="U263">IFERROR(INDEX(DFD!$D$2:$D$1048791,MATCH($Q263,DFD!$B$2:$B$1048791,0)),"")</f>
        <v/>
      </c>
      <c r="V263" s="94" t="str">
        <f t="array" ref="V263">IFERROR(INDEX(DFD!$F$2:$F$1048791,MATCH($Q263,DFD!$B$2:$B$1048791,0)),"")</f>
        <v/>
      </c>
      <c r="W263" s="97" t="str">
        <f t="array" ref="W263">IFERROR(INDEX(DFD!$E$2:$E$1048791,MATCH($Q263,DFD!$B$2:$B$1048791,0)),"")</f>
        <v/>
      </c>
      <c r="X263" s="97" t="str">
        <f t="array" ref="X263">IFERROR(INDEX(DFD!$K$2:$K$1048791,MATCH($Q263,DFD!$B$2:$B$1048791,0)),"")</f>
        <v/>
      </c>
      <c r="Y263" s="97" t="str">
        <f t="array" ref="Y263">IFERROR(INDEX(DFD!$L$2:$L$1048790,MATCH($Q263,DFD!$B$2:$B$1048790,0)),"")</f>
        <v/>
      </c>
      <c r="Z263" s="97">
        <f t="shared" si="11"/>
        <v>45</v>
      </c>
      <c r="AA263" s="87"/>
      <c r="AB263" s="87" t="s">
        <v>78</v>
      </c>
      <c r="AC263" s="87"/>
      <c r="AD263" s="99">
        <v>46043.0</v>
      </c>
      <c r="AE263" s="100">
        <f t="shared" si="8"/>
        <v>1</v>
      </c>
    </row>
    <row r="264" ht="15.75" customHeight="1">
      <c r="A264" s="59" t="s">
        <v>992</v>
      </c>
      <c r="B264" s="59" t="s">
        <v>92</v>
      </c>
      <c r="C264" s="60" t="s">
        <v>991</v>
      </c>
      <c r="D264" s="60" t="s">
        <v>51</v>
      </c>
      <c r="E264" s="60">
        <v>20.0</v>
      </c>
      <c r="F264" s="72">
        <v>720.0</v>
      </c>
      <c r="G264" s="73" t="s">
        <v>53</v>
      </c>
      <c r="H264" s="74">
        <v>46174.0</v>
      </c>
      <c r="I264" s="67" t="s">
        <v>17</v>
      </c>
      <c r="J264" s="67" t="s">
        <v>54</v>
      </c>
      <c r="K264" s="67" t="s">
        <v>66</v>
      </c>
      <c r="L264" s="67" t="s">
        <v>67</v>
      </c>
      <c r="M264" s="73" t="s">
        <v>167</v>
      </c>
      <c r="N264" s="67" t="s">
        <v>58</v>
      </c>
      <c r="O264" s="59" t="s">
        <v>69</v>
      </c>
      <c r="P264" s="59"/>
      <c r="Q264" s="59" t="s">
        <v>667</v>
      </c>
      <c r="R264" s="76" t="s">
        <v>71</v>
      </c>
      <c r="S264" s="59"/>
      <c r="T264" s="59"/>
      <c r="U264" s="77" t="str">
        <f t="array" ref="U264">IFERROR(INDEX(DFD!$D$2:$D$1048791,MATCH($Q264,DFD!$B$2:$B$1048791,0)),"")</f>
        <v/>
      </c>
      <c r="V264" s="77" t="str">
        <f t="array" ref="V264">IFERROR(INDEX(DFD!$F$2:$F$1048791,MATCH($Q264,DFD!$B$2:$B$1048791,0)),"")</f>
        <v/>
      </c>
      <c r="W264" s="84" t="str">
        <f t="array" ref="W264">IFERROR(INDEX(DFD!$E$2:$E$1048791,MATCH($Q264,DFD!$B$2:$B$1048791,0)),"")</f>
        <v/>
      </c>
      <c r="X264" s="84" t="str">
        <f t="array" ref="X264">IFERROR(INDEX(DFD!$K$2:$K$1048791,MATCH($Q264,DFD!$B$2:$B$1048791,0)),"")</f>
        <v/>
      </c>
      <c r="Y264" s="84" t="str">
        <f t="array" ref="Y264">IFERROR(INDEX(DFD!$L$2:$L$1048790,MATCH($Q264,DFD!$B$2:$B$1048790,0)),"")</f>
        <v/>
      </c>
      <c r="Z264" s="84">
        <f t="shared" si="11"/>
        <v>45</v>
      </c>
      <c r="AA264" s="59"/>
      <c r="AB264" s="59" t="s">
        <v>78</v>
      </c>
      <c r="AC264" s="59"/>
      <c r="AD264" s="85">
        <v>46043.0</v>
      </c>
      <c r="AE264" s="86">
        <f t="shared" si="8"/>
        <v>1</v>
      </c>
    </row>
    <row r="265" ht="15.75" customHeight="1">
      <c r="A265" s="87" t="s">
        <v>995</v>
      </c>
      <c r="B265" s="87" t="s">
        <v>80</v>
      </c>
      <c r="C265" s="88" t="s">
        <v>991</v>
      </c>
      <c r="D265" s="88" t="s">
        <v>51</v>
      </c>
      <c r="E265" s="88">
        <v>15.0</v>
      </c>
      <c r="F265" s="89">
        <v>540.0</v>
      </c>
      <c r="G265" s="90" t="s">
        <v>53</v>
      </c>
      <c r="H265" s="91">
        <v>46174.0</v>
      </c>
      <c r="I265" s="92" t="s">
        <v>17</v>
      </c>
      <c r="J265" s="92" t="s">
        <v>54</v>
      </c>
      <c r="K265" s="92" t="s">
        <v>66</v>
      </c>
      <c r="L265" s="92" t="s">
        <v>67</v>
      </c>
      <c r="M265" s="90" t="s">
        <v>104</v>
      </c>
      <c r="N265" s="92" t="s">
        <v>58</v>
      </c>
      <c r="O265" s="87" t="s">
        <v>69</v>
      </c>
      <c r="P265" s="87"/>
      <c r="Q265" s="87" t="s">
        <v>667</v>
      </c>
      <c r="R265" s="93" t="s">
        <v>71</v>
      </c>
      <c r="S265" s="87"/>
      <c r="T265" s="87"/>
      <c r="U265" s="94" t="str">
        <f t="array" ref="U265">IFERROR(INDEX(DFD!$D$2:$D$1048791,MATCH($Q265,DFD!$B$2:$B$1048791,0)),"")</f>
        <v/>
      </c>
      <c r="V265" s="94" t="str">
        <f t="array" ref="V265">IFERROR(INDEX(DFD!$F$2:$F$1048791,MATCH($Q265,DFD!$B$2:$B$1048791,0)),"")</f>
        <v/>
      </c>
      <c r="W265" s="97" t="str">
        <f t="array" ref="W265">IFERROR(INDEX(DFD!$E$2:$E$1048791,MATCH($Q265,DFD!$B$2:$B$1048791,0)),"")</f>
        <v/>
      </c>
      <c r="X265" s="97" t="str">
        <f t="array" ref="X265">IFERROR(INDEX(DFD!$K$2:$K$1048791,MATCH($Q265,DFD!$B$2:$B$1048791,0)),"")</f>
        <v/>
      </c>
      <c r="Y265" s="97" t="str">
        <f t="array" ref="Y265">IFERROR(INDEX(DFD!$L$2:$L$1048790,MATCH($Q265,DFD!$B$2:$B$1048790,0)),"")</f>
        <v/>
      </c>
      <c r="Z265" s="97">
        <f t="shared" si="11"/>
        <v>45</v>
      </c>
      <c r="AA265" s="87"/>
      <c r="AB265" s="87" t="s">
        <v>78</v>
      </c>
      <c r="AC265" s="87"/>
      <c r="AD265" s="99">
        <v>46043.0</v>
      </c>
      <c r="AE265" s="100">
        <f t="shared" si="8"/>
        <v>1</v>
      </c>
    </row>
    <row r="266" ht="15.75" customHeight="1">
      <c r="A266" s="59" t="s">
        <v>997</v>
      </c>
      <c r="B266" s="59" t="s">
        <v>94</v>
      </c>
      <c r="C266" s="60" t="s">
        <v>998</v>
      </c>
      <c r="D266" s="60" t="s">
        <v>51</v>
      </c>
      <c r="E266" s="60">
        <v>10.0</v>
      </c>
      <c r="F266" s="72">
        <v>199.0</v>
      </c>
      <c r="G266" s="73" t="s">
        <v>53</v>
      </c>
      <c r="H266" s="74">
        <v>46143.0</v>
      </c>
      <c r="I266" s="67" t="s">
        <v>17</v>
      </c>
      <c r="J266" s="67" t="s">
        <v>54</v>
      </c>
      <c r="K266" s="67" t="s">
        <v>66</v>
      </c>
      <c r="L266" s="67" t="s">
        <v>67</v>
      </c>
      <c r="M266" s="73" t="s">
        <v>167</v>
      </c>
      <c r="N266" s="67" t="s">
        <v>5</v>
      </c>
      <c r="O266" s="67" t="s">
        <v>89</v>
      </c>
      <c r="P266" s="59"/>
      <c r="Q266" s="59" t="s">
        <v>143</v>
      </c>
      <c r="R266" s="76" t="s">
        <v>71</v>
      </c>
      <c r="S266" s="59"/>
      <c r="T266" s="59"/>
      <c r="U266" s="77" t="str">
        <f t="array" ref="U266">IFERROR(INDEX(DFD!$D$2:$D$1048791,MATCH($Q266,DFD!$B$2:$B$1048791,0)),"")</f>
        <v/>
      </c>
      <c r="V266" s="77" t="str">
        <f t="array" ref="V266">IFERROR(INDEX(DFD!$F$2:$F$1048791,MATCH($Q266,DFD!$B$2:$B$1048791,0)),"")</f>
        <v/>
      </c>
      <c r="W266" s="84" t="str">
        <f t="array" ref="W266">IFERROR(INDEX(DFD!$E$2:$E$1048791,MATCH($Q266,DFD!$B$2:$B$1048791,0)),"")</f>
        <v/>
      </c>
      <c r="X266" s="84" t="str">
        <f t="array" ref="X266">IFERROR(INDEX(DFD!$K$2:$K$1048791,MATCH($Q266,DFD!$B$2:$B$1048791,0)),"")</f>
        <v/>
      </c>
      <c r="Y266" s="84" t="str">
        <f t="array" ref="Y266">IFERROR(INDEX(DFD!$L$2:$L$1048790,MATCH($Q266,DFD!$B$2:$B$1048790,0)),"")</f>
        <v/>
      </c>
      <c r="Z266" s="84">
        <f t="shared" si="11"/>
        <v>45</v>
      </c>
      <c r="AA266" s="59"/>
      <c r="AB266" s="59" t="s">
        <v>78</v>
      </c>
      <c r="AC266" s="59"/>
      <c r="AD266" s="85">
        <v>46043.0</v>
      </c>
      <c r="AE266" s="86">
        <f t="shared" si="8"/>
        <v>1</v>
      </c>
    </row>
    <row r="267" ht="15.75" customHeight="1">
      <c r="A267" s="87" t="s">
        <v>1000</v>
      </c>
      <c r="B267" s="87" t="s">
        <v>101</v>
      </c>
      <c r="C267" s="88" t="s">
        <v>1001</v>
      </c>
      <c r="D267" s="88" t="s">
        <v>51</v>
      </c>
      <c r="E267" s="88">
        <v>2.0</v>
      </c>
      <c r="F267" s="89">
        <v>200.0</v>
      </c>
      <c r="G267" s="90" t="s">
        <v>53</v>
      </c>
      <c r="H267" s="91">
        <v>46143.0</v>
      </c>
      <c r="I267" s="92" t="s">
        <v>17</v>
      </c>
      <c r="J267" s="92" t="s">
        <v>54</v>
      </c>
      <c r="K267" s="92" t="s">
        <v>66</v>
      </c>
      <c r="L267" s="92" t="s">
        <v>56</v>
      </c>
      <c r="M267" s="90" t="s">
        <v>167</v>
      </c>
      <c r="N267" s="92" t="s">
        <v>58</v>
      </c>
      <c r="O267" s="87" t="s">
        <v>69</v>
      </c>
      <c r="P267" s="87"/>
      <c r="Q267" s="87" t="s">
        <v>118</v>
      </c>
      <c r="R267" s="93" t="s">
        <v>181</v>
      </c>
      <c r="S267" s="87"/>
      <c r="T267" s="87"/>
      <c r="U267" s="94" t="str">
        <f t="array" ref="U267">IFERROR(INDEX(DFD!$D$2:$D$1048791,MATCH($Q267,DFD!$B$2:$B$1048791,0)),"")</f>
        <v/>
      </c>
      <c r="V267" s="94" t="str">
        <f t="array" ref="V267">IFERROR(INDEX(DFD!$F$2:$F$1048791,MATCH($Q267,DFD!$B$2:$B$1048791,0)),"")</f>
        <v/>
      </c>
      <c r="W267" s="97" t="str">
        <f t="array" ref="W267">IFERROR(INDEX(DFD!$E$2:$E$1048791,MATCH($Q267,DFD!$B$2:$B$1048791,0)),"")</f>
        <v/>
      </c>
      <c r="X267" s="97" t="str">
        <f t="array" ref="X267">IFERROR(INDEX(DFD!$K$2:$K$1048791,MATCH($Q267,DFD!$B$2:$B$1048791,0)),"")</f>
        <v/>
      </c>
      <c r="Y267" s="97" t="str">
        <f t="array" ref="Y267">IFERROR(INDEX(DFD!$L$2:$L$1048790,MATCH($Q267,DFD!$B$2:$B$1048790,0)),"")</f>
        <v/>
      </c>
      <c r="Z267" s="97">
        <f t="shared" si="11"/>
        <v>45</v>
      </c>
      <c r="AA267" s="87"/>
      <c r="AB267" s="87" t="s">
        <v>78</v>
      </c>
      <c r="AC267" s="87"/>
      <c r="AD267" s="99">
        <v>46043.0</v>
      </c>
      <c r="AE267" s="100">
        <f t="shared" si="8"/>
        <v>1</v>
      </c>
    </row>
    <row r="268" ht="15.75" customHeight="1">
      <c r="A268" s="59" t="s">
        <v>1004</v>
      </c>
      <c r="B268" s="59" t="s">
        <v>92</v>
      </c>
      <c r="C268" s="60" t="s">
        <v>1005</v>
      </c>
      <c r="D268" s="60" t="s">
        <v>51</v>
      </c>
      <c r="E268" s="60">
        <v>20.0</v>
      </c>
      <c r="F268" s="72">
        <v>400.0</v>
      </c>
      <c r="G268" s="73" t="s">
        <v>53</v>
      </c>
      <c r="H268" s="74">
        <v>46174.0</v>
      </c>
      <c r="I268" s="67" t="s">
        <v>17</v>
      </c>
      <c r="J268" s="67" t="s">
        <v>54</v>
      </c>
      <c r="K268" s="67" t="s">
        <v>66</v>
      </c>
      <c r="L268" s="67" t="s">
        <v>67</v>
      </c>
      <c r="M268" s="73" t="s">
        <v>167</v>
      </c>
      <c r="N268" s="67" t="s">
        <v>5</v>
      </c>
      <c r="O268" s="59" t="s">
        <v>69</v>
      </c>
      <c r="P268" s="59"/>
      <c r="Q268" s="59" t="s">
        <v>113</v>
      </c>
      <c r="R268" s="76" t="s">
        <v>402</v>
      </c>
      <c r="S268" s="59"/>
      <c r="T268" s="59"/>
      <c r="U268" s="77" t="str">
        <f t="array" ref="U268">IFERROR(INDEX(DFD!$D$2:$D$1048791,MATCH($Q268,DFD!$B$2:$B$1048791,0)),"")</f>
        <v/>
      </c>
      <c r="V268" s="77" t="str">
        <f t="array" ref="V268">IFERROR(INDEX(DFD!$F$2:$F$1048791,MATCH($Q268,DFD!$B$2:$B$1048791,0)),"")</f>
        <v/>
      </c>
      <c r="W268" s="84" t="str">
        <f t="array" ref="W268">IFERROR(INDEX(DFD!$E$2:$E$1048791,MATCH($Q268,DFD!$B$2:$B$1048791,0)),"")</f>
        <v/>
      </c>
      <c r="X268" s="84" t="str">
        <f t="array" ref="X268">IFERROR(INDEX(DFD!$K$2:$K$1048791,MATCH($Q268,DFD!$B$2:$B$1048791,0)),"")</f>
        <v/>
      </c>
      <c r="Y268" s="84" t="str">
        <f t="array" ref="Y268">IFERROR(INDEX(DFD!$L$2:$L$1048790,MATCH($Q268,DFD!$B$2:$B$1048790,0)),"")</f>
        <v/>
      </c>
      <c r="Z268" s="84">
        <f t="shared" si="11"/>
        <v>45</v>
      </c>
      <c r="AA268" s="59"/>
      <c r="AB268" s="59" t="s">
        <v>78</v>
      </c>
      <c r="AC268" s="59"/>
      <c r="AD268" s="85">
        <v>46043.0</v>
      </c>
      <c r="AE268" s="86">
        <f t="shared" si="8"/>
        <v>1</v>
      </c>
    </row>
    <row r="269" ht="15.75" customHeight="1">
      <c r="A269" s="87" t="s">
        <v>1006</v>
      </c>
      <c r="B269" s="87" t="s">
        <v>80</v>
      </c>
      <c r="C269" s="88" t="s">
        <v>1005</v>
      </c>
      <c r="D269" s="88" t="s">
        <v>51</v>
      </c>
      <c r="E269" s="88">
        <v>15.0</v>
      </c>
      <c r="F269" s="89">
        <v>300.0</v>
      </c>
      <c r="G269" s="90" t="s">
        <v>53</v>
      </c>
      <c r="H269" s="91">
        <v>46174.0</v>
      </c>
      <c r="I269" s="92" t="s">
        <v>17</v>
      </c>
      <c r="J269" s="92" t="s">
        <v>54</v>
      </c>
      <c r="K269" s="92" t="s">
        <v>66</v>
      </c>
      <c r="L269" s="92" t="s">
        <v>67</v>
      </c>
      <c r="M269" s="90" t="s">
        <v>167</v>
      </c>
      <c r="N269" s="92" t="s">
        <v>5</v>
      </c>
      <c r="O269" s="92" t="s">
        <v>89</v>
      </c>
      <c r="P269" s="87"/>
      <c r="Q269" s="87" t="s">
        <v>113</v>
      </c>
      <c r="R269" s="93" t="s">
        <v>402</v>
      </c>
      <c r="S269" s="87"/>
      <c r="T269" s="87"/>
      <c r="U269" s="94" t="str">
        <f t="array" ref="U269">IFERROR(INDEX(DFD!$D$2:$D$1048791,MATCH($Q269,DFD!$B$2:$B$1048791,0)),"")</f>
        <v/>
      </c>
      <c r="V269" s="94" t="str">
        <f t="array" ref="V269">IFERROR(INDEX(DFD!$F$2:$F$1048791,MATCH($Q269,DFD!$B$2:$B$1048791,0)),"")</f>
        <v/>
      </c>
      <c r="W269" s="97" t="str">
        <f t="array" ref="W269">IFERROR(INDEX(DFD!$E$2:$E$1048791,MATCH($Q269,DFD!$B$2:$B$1048791,0)),"")</f>
        <v/>
      </c>
      <c r="X269" s="97" t="str">
        <f t="array" ref="X269">IFERROR(INDEX(DFD!$K$2:$K$1048791,MATCH($Q269,DFD!$B$2:$B$1048791,0)),"")</f>
        <v/>
      </c>
      <c r="Y269" s="97" t="str">
        <f t="array" ref="Y269">IFERROR(INDEX(DFD!$L$2:$L$1048790,MATCH($Q269,DFD!$B$2:$B$1048790,0)),"")</f>
        <v/>
      </c>
      <c r="Z269" s="97">
        <f t="shared" si="11"/>
        <v>45</v>
      </c>
      <c r="AA269" s="87"/>
      <c r="AB269" s="87" t="s">
        <v>78</v>
      </c>
      <c r="AC269" s="87"/>
      <c r="AD269" s="99">
        <v>46043.0</v>
      </c>
      <c r="AE269" s="100">
        <f t="shared" si="8"/>
        <v>1</v>
      </c>
    </row>
    <row r="270" ht="15.75" customHeight="1">
      <c r="A270" s="67" t="s">
        <v>1007</v>
      </c>
      <c r="B270" s="59" t="s">
        <v>184</v>
      </c>
      <c r="C270" s="60" t="s">
        <v>1008</v>
      </c>
      <c r="D270" s="60" t="s">
        <v>51</v>
      </c>
      <c r="E270" s="60">
        <v>30.0</v>
      </c>
      <c r="F270" s="72">
        <v>2100.0</v>
      </c>
      <c r="G270" s="73" t="s">
        <v>53</v>
      </c>
      <c r="H270" s="74">
        <v>46174.0</v>
      </c>
      <c r="I270" s="67" t="s">
        <v>17</v>
      </c>
      <c r="J270" s="67" t="s">
        <v>54</v>
      </c>
      <c r="K270" s="67" t="s">
        <v>66</v>
      </c>
      <c r="L270" s="67" t="s">
        <v>67</v>
      </c>
      <c r="M270" s="73" t="s">
        <v>132</v>
      </c>
      <c r="N270" s="67" t="s">
        <v>20</v>
      </c>
      <c r="O270" s="59" t="s">
        <v>69</v>
      </c>
      <c r="P270" s="59"/>
      <c r="Q270" s="59" t="s">
        <v>113</v>
      </c>
      <c r="R270" s="76" t="s">
        <v>718</v>
      </c>
      <c r="S270" s="59"/>
      <c r="T270" s="59"/>
      <c r="U270" s="77" t="str">
        <f t="array" ref="U270">IFERROR(INDEX(DFD!$D$2:$D$1048791,MATCH($Q270,DFD!$B$2:$B$1048791,0)),"")</f>
        <v/>
      </c>
      <c r="V270" s="77" t="str">
        <f t="array" ref="V270">IFERROR(INDEX(DFD!$F$2:$F$1048791,MATCH($Q270,DFD!$B$2:$B$1048791,0)),"")</f>
        <v/>
      </c>
      <c r="W270" s="84" t="str">
        <f t="array" ref="W270">IFERROR(INDEX(DFD!$E$2:$E$1048791,MATCH($Q270,DFD!$B$2:$B$1048791,0)),"")</f>
        <v/>
      </c>
      <c r="X270" s="84" t="str">
        <f t="array" ref="X270">IFERROR(INDEX(DFD!$K$2:$K$1048791,MATCH($Q270,DFD!$B$2:$B$1048791,0)),"")</f>
        <v/>
      </c>
      <c r="Y270" s="84" t="str">
        <f t="array" ref="Y270">IFERROR(INDEX(DFD!$L$2:$L$1048790,MATCH($Q270,DFD!$B$2:$B$1048790,0)),"")</f>
        <v/>
      </c>
      <c r="Z270" s="84">
        <f t="shared" si="11"/>
        <v>45</v>
      </c>
      <c r="AA270" s="59" t="s">
        <v>746</v>
      </c>
      <c r="AB270" s="59" t="s">
        <v>78</v>
      </c>
      <c r="AC270" s="59"/>
      <c r="AD270" s="85">
        <v>46043.0</v>
      </c>
      <c r="AE270" s="86">
        <f t="shared" si="8"/>
        <v>1</v>
      </c>
    </row>
    <row r="271" ht="15.75" customHeight="1">
      <c r="A271" s="92" t="s">
        <v>1009</v>
      </c>
      <c r="B271" s="87" t="s">
        <v>105</v>
      </c>
      <c r="C271" s="88" t="s">
        <v>1010</v>
      </c>
      <c r="D271" s="88" t="s">
        <v>51</v>
      </c>
      <c r="E271" s="88">
        <v>8.0</v>
      </c>
      <c r="F271" s="89">
        <v>960.0</v>
      </c>
      <c r="G271" s="90" t="s">
        <v>53</v>
      </c>
      <c r="H271" s="91">
        <v>46174.0</v>
      </c>
      <c r="I271" s="92" t="s">
        <v>17</v>
      </c>
      <c r="J271" s="92" t="s">
        <v>54</v>
      </c>
      <c r="K271" s="92" t="s">
        <v>66</v>
      </c>
      <c r="L271" s="92" t="s">
        <v>56</v>
      </c>
      <c r="M271" s="90" t="s">
        <v>104</v>
      </c>
      <c r="N271" s="92" t="s">
        <v>20</v>
      </c>
      <c r="O271" s="87" t="s">
        <v>69</v>
      </c>
      <c r="P271" s="87"/>
      <c r="Q271" s="87" t="s">
        <v>113</v>
      </c>
      <c r="R271" s="93" t="s">
        <v>718</v>
      </c>
      <c r="S271" s="87"/>
      <c r="T271" s="87"/>
      <c r="U271" s="94" t="str">
        <f t="array" ref="U271">IFERROR(INDEX(DFD!$D$2:$D$1048791,MATCH($Q271,DFD!$B$2:$B$1048791,0)),"")</f>
        <v/>
      </c>
      <c r="V271" s="94" t="str">
        <f t="array" ref="V271">IFERROR(INDEX(DFD!$F$2:$F$1048791,MATCH($Q271,DFD!$B$2:$B$1048791,0)),"")</f>
        <v/>
      </c>
      <c r="W271" s="97" t="str">
        <f t="array" ref="W271">IFERROR(INDEX(DFD!$E$2:$E$1048791,MATCH($Q271,DFD!$B$2:$B$1048791,0)),"")</f>
        <v/>
      </c>
      <c r="X271" s="97" t="str">
        <f t="array" ref="X271">IFERROR(INDEX(DFD!$K$2:$K$1048791,MATCH($Q271,DFD!$B$2:$B$1048791,0)),"")</f>
        <v/>
      </c>
      <c r="Y271" s="97" t="str">
        <f t="array" ref="Y271">IFERROR(INDEX(DFD!$L$2:$L$1048790,MATCH($Q271,DFD!$B$2:$B$1048790,0)),"")</f>
        <v/>
      </c>
      <c r="Z271" s="97">
        <f t="shared" si="11"/>
        <v>45</v>
      </c>
      <c r="AA271" s="87"/>
      <c r="AB271" s="87" t="s">
        <v>78</v>
      </c>
      <c r="AC271" s="87"/>
      <c r="AD271" s="99">
        <v>46043.0</v>
      </c>
      <c r="AE271" s="100">
        <f t="shared" si="8"/>
        <v>1</v>
      </c>
    </row>
    <row r="272" ht="15.75" customHeight="1">
      <c r="A272" s="59" t="s">
        <v>1012</v>
      </c>
      <c r="B272" s="59" t="s">
        <v>80</v>
      </c>
      <c r="C272" s="60" t="s">
        <v>1013</v>
      </c>
      <c r="D272" s="60" t="s">
        <v>51</v>
      </c>
      <c r="E272" s="60">
        <v>1.0</v>
      </c>
      <c r="F272" s="72">
        <v>2000.0</v>
      </c>
      <c r="G272" s="73" t="s">
        <v>53</v>
      </c>
      <c r="H272" s="74">
        <v>46174.0</v>
      </c>
      <c r="I272" s="67" t="s">
        <v>17</v>
      </c>
      <c r="J272" s="67" t="s">
        <v>54</v>
      </c>
      <c r="K272" s="67" t="s">
        <v>66</v>
      </c>
      <c r="L272" s="67" t="s">
        <v>67</v>
      </c>
      <c r="M272" s="73" t="s">
        <v>117</v>
      </c>
      <c r="N272" s="67" t="s">
        <v>5</v>
      </c>
      <c r="O272" s="67" t="s">
        <v>89</v>
      </c>
      <c r="P272" s="59"/>
      <c r="Q272" s="59" t="s">
        <v>1014</v>
      </c>
      <c r="R272" s="76" t="s">
        <v>442</v>
      </c>
      <c r="S272" s="59"/>
      <c r="T272" s="59"/>
      <c r="U272" s="77" t="str">
        <f t="array" ref="U272">IFERROR(INDEX(DFD!$D$2:$D$1048791,MATCH($Q272,DFD!$B$2:$B$1048791,0)),"")</f>
        <v/>
      </c>
      <c r="V272" s="77" t="s">
        <v>280</v>
      </c>
      <c r="W272" s="84" t="str">
        <f t="array" ref="W272">IFERROR(INDEX(DFD!$E$2:$E$1048791,MATCH($Q272,DFD!$B$2:$B$1048791,0)),"")</f>
        <v/>
      </c>
      <c r="X272" s="84" t="str">
        <f t="array" ref="X272">IFERROR(INDEX(DFD!$K$2:$K$1048791,MATCH($Q272,DFD!$B$2:$B$1048791,0)),"")</f>
        <v/>
      </c>
      <c r="Y272" s="84" t="str">
        <f t="array" ref="Y272">IFERROR(INDEX(DFD!$L$2:$L$1048790,MATCH($Q272,DFD!$B$2:$B$1048790,0)),"")</f>
        <v/>
      </c>
      <c r="Z272" s="84">
        <f t="shared" si="11"/>
        <v>45</v>
      </c>
      <c r="AA272" s="59"/>
      <c r="AB272" s="59" t="s">
        <v>78</v>
      </c>
      <c r="AC272" s="59"/>
      <c r="AD272" s="85">
        <v>46043.0</v>
      </c>
      <c r="AE272" s="86">
        <f t="shared" si="8"/>
        <v>1</v>
      </c>
    </row>
    <row r="273" ht="15.75" customHeight="1">
      <c r="A273" s="87" t="s">
        <v>1016</v>
      </c>
      <c r="B273" s="87" t="s">
        <v>92</v>
      </c>
      <c r="C273" s="88" t="s">
        <v>1017</v>
      </c>
      <c r="D273" s="88" t="s">
        <v>51</v>
      </c>
      <c r="E273" s="88">
        <v>1.0</v>
      </c>
      <c r="F273" s="89">
        <v>2000.0</v>
      </c>
      <c r="G273" s="90" t="s">
        <v>53</v>
      </c>
      <c r="H273" s="91">
        <v>46174.0</v>
      </c>
      <c r="I273" s="92" t="s">
        <v>17</v>
      </c>
      <c r="J273" s="92" t="s">
        <v>54</v>
      </c>
      <c r="K273" s="92" t="s">
        <v>66</v>
      </c>
      <c r="L273" s="92" t="s">
        <v>67</v>
      </c>
      <c r="M273" s="90" t="s">
        <v>117</v>
      </c>
      <c r="N273" s="92" t="s">
        <v>5</v>
      </c>
      <c r="O273" s="87" t="s">
        <v>69</v>
      </c>
      <c r="P273" s="87"/>
      <c r="Q273" s="87" t="s">
        <v>1014</v>
      </c>
      <c r="R273" s="93" t="s">
        <v>442</v>
      </c>
      <c r="S273" s="87"/>
      <c r="T273" s="87"/>
      <c r="U273" s="94" t="str">
        <f t="array" ref="U273">IFERROR(INDEX(DFD!$D$2:$D$1048791,MATCH($Q273,DFD!$B$2:$B$1048791,0)),"")</f>
        <v/>
      </c>
      <c r="V273" s="94" t="s">
        <v>280</v>
      </c>
      <c r="W273" s="97" t="str">
        <f t="array" ref="W273">IFERROR(INDEX(DFD!$E$2:$E$1048791,MATCH($Q273,DFD!$B$2:$B$1048791,0)),"")</f>
        <v/>
      </c>
      <c r="X273" s="97" t="str">
        <f t="array" ref="X273">IFERROR(INDEX(DFD!$K$2:$K$1048791,MATCH($Q273,DFD!$B$2:$B$1048791,0)),"")</f>
        <v/>
      </c>
      <c r="Y273" s="97" t="str">
        <f t="array" ref="Y273">IFERROR(INDEX(DFD!$L$2:$L$1048790,MATCH($Q273,DFD!$B$2:$B$1048790,0)),"")</f>
        <v/>
      </c>
      <c r="Z273" s="97">
        <f t="shared" si="11"/>
        <v>45</v>
      </c>
      <c r="AA273" s="87"/>
      <c r="AB273" s="87" t="s">
        <v>78</v>
      </c>
      <c r="AC273" s="87"/>
      <c r="AD273" s="99">
        <v>46043.0</v>
      </c>
      <c r="AE273" s="100">
        <f t="shared" si="8"/>
        <v>1</v>
      </c>
    </row>
    <row r="274" ht="15.75" customHeight="1">
      <c r="A274" s="59" t="s">
        <v>1020</v>
      </c>
      <c r="B274" s="59" t="s">
        <v>107</v>
      </c>
      <c r="C274" s="60" t="s">
        <v>1017</v>
      </c>
      <c r="D274" s="60" t="s">
        <v>51</v>
      </c>
      <c r="E274" s="60">
        <v>1.0</v>
      </c>
      <c r="F274" s="72">
        <v>2000.0</v>
      </c>
      <c r="G274" s="73" t="s">
        <v>53</v>
      </c>
      <c r="H274" s="74">
        <v>46174.0</v>
      </c>
      <c r="I274" s="67" t="s">
        <v>17</v>
      </c>
      <c r="J274" s="67" t="s">
        <v>54</v>
      </c>
      <c r="K274" s="67" t="s">
        <v>66</v>
      </c>
      <c r="L274" s="67" t="s">
        <v>67</v>
      </c>
      <c r="M274" s="73" t="s">
        <v>117</v>
      </c>
      <c r="N274" s="67" t="s">
        <v>5</v>
      </c>
      <c r="O274" s="59" t="s">
        <v>69</v>
      </c>
      <c r="P274" s="59"/>
      <c r="Q274" s="59" t="s">
        <v>1014</v>
      </c>
      <c r="R274" s="76" t="s">
        <v>442</v>
      </c>
      <c r="S274" s="59"/>
      <c r="T274" s="59"/>
      <c r="U274" s="77" t="str">
        <f t="array" ref="U274">IFERROR(INDEX(DFD!$D$2:$D$1048791,MATCH($Q274,DFD!$B$2:$B$1048791,0)),"")</f>
        <v/>
      </c>
      <c r="V274" s="77" t="s">
        <v>280</v>
      </c>
      <c r="W274" s="84" t="str">
        <f t="array" ref="W274">IFERROR(INDEX(DFD!$E$2:$E$1048791,MATCH($Q274,DFD!$B$2:$B$1048791,0)),"")</f>
        <v/>
      </c>
      <c r="X274" s="84" t="str">
        <f t="array" ref="X274">IFERROR(INDEX(DFD!$K$2:$K$1048791,MATCH($Q274,DFD!$B$2:$B$1048791,0)),"")</f>
        <v/>
      </c>
      <c r="Y274" s="84" t="str">
        <f t="array" ref="Y274">IFERROR(INDEX(DFD!$L$2:$L$1048790,MATCH($Q274,DFD!$B$2:$B$1048790,0)),"")</f>
        <v/>
      </c>
      <c r="Z274" s="84">
        <f t="shared" si="11"/>
        <v>45</v>
      </c>
      <c r="AA274" s="59"/>
      <c r="AB274" s="59" t="s">
        <v>78</v>
      </c>
      <c r="AC274" s="59"/>
      <c r="AD274" s="85">
        <v>46043.0</v>
      </c>
      <c r="AE274" s="86">
        <f t="shared" si="8"/>
        <v>1</v>
      </c>
    </row>
    <row r="275" ht="15.75" customHeight="1">
      <c r="A275" s="87" t="s">
        <v>1021</v>
      </c>
      <c r="B275" s="87" t="s">
        <v>98</v>
      </c>
      <c r="C275" s="88" t="s">
        <v>1017</v>
      </c>
      <c r="D275" s="88" t="s">
        <v>51</v>
      </c>
      <c r="E275" s="88">
        <v>1.0</v>
      </c>
      <c r="F275" s="89">
        <v>2000.0</v>
      </c>
      <c r="G275" s="90" t="s">
        <v>53</v>
      </c>
      <c r="H275" s="91">
        <v>46174.0</v>
      </c>
      <c r="I275" s="92" t="s">
        <v>17</v>
      </c>
      <c r="J275" s="92" t="s">
        <v>54</v>
      </c>
      <c r="K275" s="92" t="s">
        <v>66</v>
      </c>
      <c r="L275" s="92" t="s">
        <v>67</v>
      </c>
      <c r="M275" s="90" t="s">
        <v>117</v>
      </c>
      <c r="N275" s="92" t="s">
        <v>5</v>
      </c>
      <c r="O275" s="92" t="s">
        <v>89</v>
      </c>
      <c r="P275" s="87"/>
      <c r="Q275" s="87" t="s">
        <v>1014</v>
      </c>
      <c r="R275" s="93" t="s">
        <v>442</v>
      </c>
      <c r="S275" s="87"/>
      <c r="T275" s="87"/>
      <c r="U275" s="94" t="str">
        <f t="array" ref="U275">IFERROR(INDEX(DFD!$D$2:$D$1048791,MATCH($Q275,DFD!$B$2:$B$1048791,0)),"")</f>
        <v/>
      </c>
      <c r="V275" s="94" t="s">
        <v>280</v>
      </c>
      <c r="W275" s="97" t="str">
        <f t="array" ref="W275">IFERROR(INDEX(DFD!$E$2:$E$1048791,MATCH($Q275,DFD!$B$2:$B$1048791,0)),"")</f>
        <v/>
      </c>
      <c r="X275" s="97" t="str">
        <f t="array" ref="X275">IFERROR(INDEX(DFD!$K$2:$K$1048791,MATCH($Q275,DFD!$B$2:$B$1048791,0)),"")</f>
        <v/>
      </c>
      <c r="Y275" s="97" t="str">
        <f t="array" ref="Y275">IFERROR(INDEX(DFD!$L$2:$L$1048790,MATCH($Q275,DFD!$B$2:$B$1048790,0)),"")</f>
        <v/>
      </c>
      <c r="Z275" s="97">
        <f t="shared" si="11"/>
        <v>45</v>
      </c>
      <c r="AA275" s="87"/>
      <c r="AB275" s="87" t="s">
        <v>78</v>
      </c>
      <c r="AC275" s="87"/>
      <c r="AD275" s="99">
        <v>46043.0</v>
      </c>
      <c r="AE275" s="100">
        <f t="shared" si="8"/>
        <v>1</v>
      </c>
    </row>
    <row r="276" ht="15.75" customHeight="1">
      <c r="A276" s="59" t="s">
        <v>1023</v>
      </c>
      <c r="B276" s="59" t="s">
        <v>101</v>
      </c>
      <c r="C276" s="60" t="s">
        <v>1024</v>
      </c>
      <c r="D276" s="60" t="s">
        <v>984</v>
      </c>
      <c r="E276" s="60">
        <v>4.0</v>
      </c>
      <c r="F276" s="72">
        <v>8000.0</v>
      </c>
      <c r="G276" s="73" t="s">
        <v>53</v>
      </c>
      <c r="H276" s="74">
        <v>46204.0</v>
      </c>
      <c r="I276" s="67" t="s">
        <v>17</v>
      </c>
      <c r="J276" s="67" t="s">
        <v>54</v>
      </c>
      <c r="K276" s="67" t="s">
        <v>66</v>
      </c>
      <c r="L276" s="67" t="s">
        <v>56</v>
      </c>
      <c r="M276" s="73" t="s">
        <v>68</v>
      </c>
      <c r="N276" s="67" t="s">
        <v>58</v>
      </c>
      <c r="O276" s="59" t="s">
        <v>69</v>
      </c>
      <c r="P276" s="59"/>
      <c r="Q276" s="59" t="s">
        <v>1014</v>
      </c>
      <c r="R276" s="76" t="s">
        <v>442</v>
      </c>
      <c r="S276" s="59"/>
      <c r="T276" s="59"/>
      <c r="U276" s="77" t="str">
        <f t="array" ref="U276">IFERROR(INDEX(DFD!$D$2:$D$1048791,MATCH($Q276,DFD!$B$2:$B$1048791,0)),"")</f>
        <v/>
      </c>
      <c r="V276" s="77" t="s">
        <v>280</v>
      </c>
      <c r="W276" s="84" t="str">
        <f t="array" ref="W276">IFERROR(INDEX(DFD!$E$2:$E$1048791,MATCH($Q276,DFD!$B$2:$B$1048791,0)),"")</f>
        <v/>
      </c>
      <c r="X276" s="84" t="str">
        <f t="array" ref="X276">IFERROR(INDEX(DFD!$K$2:$K$1048791,MATCH($Q276,DFD!$B$2:$B$1048791,0)),"")</f>
        <v/>
      </c>
      <c r="Y276" s="84" t="str">
        <f t="array" ref="Y276">IFERROR(INDEX(DFD!$L$2:$L$1048790,MATCH($Q276,DFD!$B$2:$B$1048790,0)),"")</f>
        <v/>
      </c>
      <c r="Z276" s="84">
        <f t="shared" si="11"/>
        <v>45</v>
      </c>
      <c r="AA276" s="59"/>
      <c r="AB276" s="59" t="s">
        <v>78</v>
      </c>
      <c r="AC276" s="59"/>
      <c r="AD276" s="85">
        <v>46043.0</v>
      </c>
      <c r="AE276" s="86">
        <f t="shared" si="8"/>
        <v>1</v>
      </c>
    </row>
    <row r="277" ht="15.75" customHeight="1">
      <c r="A277" s="92" t="s">
        <v>1028</v>
      </c>
      <c r="B277" s="87" t="s">
        <v>174</v>
      </c>
      <c r="C277" s="88" t="s">
        <v>1029</v>
      </c>
      <c r="D277" s="88" t="s">
        <v>51</v>
      </c>
      <c r="E277" s="88">
        <v>5.0</v>
      </c>
      <c r="F277" s="89">
        <v>180.0</v>
      </c>
      <c r="G277" s="90" t="s">
        <v>53</v>
      </c>
      <c r="H277" s="91">
        <v>46143.0</v>
      </c>
      <c r="I277" s="92" t="s">
        <v>17</v>
      </c>
      <c r="J277" s="92" t="s">
        <v>54</v>
      </c>
      <c r="K277" s="92" t="s">
        <v>66</v>
      </c>
      <c r="L277" s="92" t="s">
        <v>56</v>
      </c>
      <c r="M277" s="90" t="s">
        <v>112</v>
      </c>
      <c r="N277" s="92" t="s">
        <v>20</v>
      </c>
      <c r="O277" s="87" t="s">
        <v>69</v>
      </c>
      <c r="P277" s="87"/>
      <c r="Q277" s="87" t="s">
        <v>176</v>
      </c>
      <c r="R277" s="93" t="s">
        <v>402</v>
      </c>
      <c r="S277" s="87"/>
      <c r="T277" s="87"/>
      <c r="U277" s="94" t="str">
        <f t="array" ref="U277">IFERROR(INDEX(DFD!$D$2:$D$1048791,MATCH($Q277,DFD!$B$2:$B$1048791,0)),"")</f>
        <v/>
      </c>
      <c r="V277" s="94" t="str">
        <f t="array" ref="V277">IFERROR(INDEX(DFD!$F$2:$F$1048791,MATCH($Q277,DFD!$B$2:$B$1048791,0)),"")</f>
        <v/>
      </c>
      <c r="W277" s="97" t="str">
        <f t="array" ref="W277">IFERROR(INDEX(DFD!$E$2:$E$1048791,MATCH($Q277,DFD!$B$2:$B$1048791,0)),"")</f>
        <v/>
      </c>
      <c r="X277" s="97" t="str">
        <f t="array" ref="X277">IFERROR(INDEX(DFD!$K$2:$K$1048791,MATCH($Q277,DFD!$B$2:$B$1048791,0)),"")</f>
        <v/>
      </c>
      <c r="Y277" s="97" t="str">
        <f t="array" ref="Y277">IFERROR(INDEX(DFD!$L$2:$L$1048790,MATCH($Q277,DFD!$B$2:$B$1048790,0)),"")</f>
        <v/>
      </c>
      <c r="Z277" s="97">
        <f t="shared" si="11"/>
        <v>45</v>
      </c>
      <c r="AA277" s="87"/>
      <c r="AB277" s="87" t="s">
        <v>78</v>
      </c>
      <c r="AC277" s="87"/>
      <c r="AD277" s="99">
        <v>46043.0</v>
      </c>
      <c r="AE277" s="100">
        <f t="shared" si="8"/>
        <v>1</v>
      </c>
    </row>
    <row r="278" ht="15.75" customHeight="1">
      <c r="A278" s="67" t="s">
        <v>1033</v>
      </c>
      <c r="B278" s="59" t="s">
        <v>184</v>
      </c>
      <c r="C278" s="60" t="s">
        <v>1034</v>
      </c>
      <c r="D278" s="60" t="s">
        <v>51</v>
      </c>
      <c r="E278" s="60">
        <v>10.0</v>
      </c>
      <c r="F278" s="72">
        <v>360.0</v>
      </c>
      <c r="G278" s="73" t="s">
        <v>53</v>
      </c>
      <c r="H278" s="74">
        <v>46174.0</v>
      </c>
      <c r="I278" s="67" t="s">
        <v>17</v>
      </c>
      <c r="J278" s="67" t="s">
        <v>54</v>
      </c>
      <c r="K278" s="67" t="s">
        <v>66</v>
      </c>
      <c r="L278" s="67" t="s">
        <v>67</v>
      </c>
      <c r="M278" s="73" t="s">
        <v>57</v>
      </c>
      <c r="N278" s="67" t="s">
        <v>20</v>
      </c>
      <c r="O278" s="67" t="s">
        <v>89</v>
      </c>
      <c r="P278" s="59"/>
      <c r="Q278" s="59" t="s">
        <v>1036</v>
      </c>
      <c r="R278" s="76" t="s">
        <v>71</v>
      </c>
      <c r="S278" s="59"/>
      <c r="T278" s="59"/>
      <c r="U278" s="77" t="str">
        <f t="array" ref="U278">IFERROR(INDEX(DFD!$D$2:$D$1048791,MATCH($Q278,DFD!$B$2:$B$1048791,0)),"")</f>
        <v/>
      </c>
      <c r="V278" s="77" t="str">
        <f t="array" ref="V278">IFERROR(INDEX(DFD!$F$2:$F$1048791,MATCH($Q278,DFD!$B$2:$B$1048791,0)),"")</f>
        <v/>
      </c>
      <c r="W278" s="84" t="str">
        <f t="array" ref="W278">IFERROR(INDEX(DFD!$E$2:$E$1048791,MATCH($Q278,DFD!$B$2:$B$1048791,0)),"")</f>
        <v/>
      </c>
      <c r="X278" s="84" t="str">
        <f t="array" ref="X278">IFERROR(INDEX(DFD!$K$2:$K$1048791,MATCH($Q278,DFD!$B$2:$B$1048791,0)),"")</f>
        <v/>
      </c>
      <c r="Y278" s="84" t="str">
        <f t="array" ref="Y278">IFERROR(INDEX(DFD!$L$2:$L$1048790,MATCH($Q278,DFD!$B$2:$B$1048790,0)),"")</f>
        <v/>
      </c>
      <c r="Z278" s="84">
        <f t="shared" si="11"/>
        <v>45</v>
      </c>
      <c r="AA278" s="59"/>
      <c r="AB278" s="59" t="s">
        <v>78</v>
      </c>
      <c r="AC278" s="59"/>
      <c r="AD278" s="85">
        <v>46043.0</v>
      </c>
      <c r="AE278" s="86">
        <f t="shared" si="8"/>
        <v>1</v>
      </c>
    </row>
    <row r="279" ht="15.75" customHeight="1">
      <c r="A279" s="87" t="s">
        <v>1039</v>
      </c>
      <c r="B279" s="87" t="s">
        <v>105</v>
      </c>
      <c r="C279" s="88" t="s">
        <v>836</v>
      </c>
      <c r="D279" s="88" t="s">
        <v>51</v>
      </c>
      <c r="E279" s="88">
        <v>6.0</v>
      </c>
      <c r="F279" s="89">
        <v>7800.0</v>
      </c>
      <c r="G279" s="90" t="s">
        <v>53</v>
      </c>
      <c r="H279" s="91">
        <v>46204.0</v>
      </c>
      <c r="I279" s="92" t="s">
        <v>17</v>
      </c>
      <c r="J279" s="92" t="s">
        <v>54</v>
      </c>
      <c r="K279" s="92" t="s">
        <v>66</v>
      </c>
      <c r="L279" s="92" t="s">
        <v>67</v>
      </c>
      <c r="M279" s="90" t="s">
        <v>104</v>
      </c>
      <c r="N279" s="92" t="s">
        <v>58</v>
      </c>
      <c r="O279" s="87" t="s">
        <v>69</v>
      </c>
      <c r="P279" s="87"/>
      <c r="Q279" s="87" t="s">
        <v>756</v>
      </c>
      <c r="R279" s="93" t="s">
        <v>71</v>
      </c>
      <c r="S279" s="87"/>
      <c r="T279" s="87"/>
      <c r="U279" s="94" t="s">
        <v>668</v>
      </c>
      <c r="V279" s="94" t="str">
        <f t="array" ref="V279">IFERROR(INDEX(DFD!$F$2:$F$1048791,MATCH($Q279,DFD!$B$2:$B$1048791,0)),"")</f>
        <v/>
      </c>
      <c r="W279" s="97" t="str">
        <f t="array" ref="W279">IFERROR(INDEX(DFD!$E$2:$E$1048791,MATCH($Q279,DFD!$B$2:$B$1048791,0)),"")</f>
        <v/>
      </c>
      <c r="X279" s="97" t="str">
        <f t="array" ref="X279">IFERROR(INDEX(DFD!$K$2:$K$1048791,MATCH($Q279,DFD!$B$2:$B$1048791,0)),"")</f>
        <v/>
      </c>
      <c r="Y279" s="97" t="str">
        <f t="array" ref="Y279">IFERROR(INDEX(DFD!$L$2:$L$1048790,MATCH($Q279,DFD!$B$2:$B$1048790,0)),"")</f>
        <v/>
      </c>
      <c r="Z279" s="97">
        <f t="shared" si="11"/>
        <v>45</v>
      </c>
      <c r="AA279" s="87"/>
      <c r="AB279" s="87" t="s">
        <v>78</v>
      </c>
      <c r="AC279" s="87"/>
      <c r="AD279" s="99">
        <v>46043.0</v>
      </c>
      <c r="AE279" s="100">
        <f t="shared" si="8"/>
        <v>1</v>
      </c>
    </row>
    <row r="280" ht="15.75" customHeight="1">
      <c r="A280" s="59" t="s">
        <v>1042</v>
      </c>
      <c r="B280" s="59" t="s">
        <v>355</v>
      </c>
      <c r="C280" s="60" t="s">
        <v>836</v>
      </c>
      <c r="D280" s="60" t="s">
        <v>51</v>
      </c>
      <c r="E280" s="60">
        <v>30.0</v>
      </c>
      <c r="F280" s="72">
        <v>39000.0</v>
      </c>
      <c r="G280" s="73" t="s">
        <v>53</v>
      </c>
      <c r="H280" s="74">
        <v>46266.0</v>
      </c>
      <c r="I280" s="67" t="s">
        <v>17</v>
      </c>
      <c r="J280" s="67" t="s">
        <v>54</v>
      </c>
      <c r="K280" s="67" t="s">
        <v>66</v>
      </c>
      <c r="L280" s="67" t="s">
        <v>56</v>
      </c>
      <c r="M280" s="73" t="s">
        <v>112</v>
      </c>
      <c r="N280" s="67" t="s">
        <v>58</v>
      </c>
      <c r="O280" s="59" t="s">
        <v>69</v>
      </c>
      <c r="P280" s="59"/>
      <c r="Q280" s="59" t="s">
        <v>52</v>
      </c>
      <c r="R280" s="76" t="s">
        <v>71</v>
      </c>
      <c r="S280" s="59"/>
      <c r="T280" s="59"/>
      <c r="U280" s="77" t="str">
        <f t="array" ref="U280">IFERROR(INDEX(DFD!$D$2:$D$1048791,MATCH($Q280,DFD!$B$2:$B$1048791,0)),"")</f>
        <v/>
      </c>
      <c r="V280" s="77" t="str">
        <f t="array" ref="V280">IFERROR(INDEX(DFD!$F$2:$F$1048791,MATCH($Q280,DFD!$B$2:$B$1048791,0)),"")</f>
        <v/>
      </c>
      <c r="W280" s="84" t="str">
        <f t="array" ref="W280">IFERROR(INDEX(DFD!$E$2:$E$1048791,MATCH($Q280,DFD!$B$2:$B$1048791,0)),"")</f>
        <v/>
      </c>
      <c r="X280" s="84" t="str">
        <f t="array" ref="X280">IFERROR(INDEX(DFD!$K$2:$K$1048791,MATCH($Q280,DFD!$B$2:$B$1048791,0)),"")</f>
        <v/>
      </c>
      <c r="Y280" s="84" t="str">
        <f t="array" ref="Y280">IFERROR(INDEX(DFD!$L$2:$L$1048790,MATCH($Q280,DFD!$B$2:$B$1048790,0)),"")</f>
        <v/>
      </c>
      <c r="Z280" s="84">
        <f t="shared" si="11"/>
        <v>45</v>
      </c>
      <c r="AA280" s="59"/>
      <c r="AB280" s="59" t="s">
        <v>72</v>
      </c>
      <c r="AC280" s="59"/>
      <c r="AD280" s="85">
        <v>46043.0</v>
      </c>
      <c r="AE280" s="86">
        <f t="shared" si="8"/>
        <v>1</v>
      </c>
    </row>
    <row r="281" ht="15.75" customHeight="1">
      <c r="A281" s="87" t="s">
        <v>1044</v>
      </c>
      <c r="B281" s="92" t="s">
        <v>355</v>
      </c>
      <c r="C281" s="88" t="s">
        <v>836</v>
      </c>
      <c r="D281" s="116" t="s">
        <v>51</v>
      </c>
      <c r="E281" s="116">
        <v>30.0</v>
      </c>
      <c r="F281" s="137">
        <v>39000.0</v>
      </c>
      <c r="G281" s="90" t="s">
        <v>53</v>
      </c>
      <c r="H281" s="118">
        <v>46266.0</v>
      </c>
      <c r="I281" s="92" t="s">
        <v>17</v>
      </c>
      <c r="J281" s="92" t="s">
        <v>54</v>
      </c>
      <c r="K281" s="92" t="s">
        <v>66</v>
      </c>
      <c r="L281" s="92" t="s">
        <v>56</v>
      </c>
      <c r="M281" s="90" t="s">
        <v>68</v>
      </c>
      <c r="N281" s="92" t="s">
        <v>58</v>
      </c>
      <c r="O281" s="92" t="s">
        <v>89</v>
      </c>
      <c r="P281" s="87"/>
      <c r="Q281" s="87" t="s">
        <v>52</v>
      </c>
      <c r="R281" s="93" t="s">
        <v>71</v>
      </c>
      <c r="S281" s="87"/>
      <c r="T281" s="87"/>
      <c r="U281" s="94" t="str">
        <f t="array" ref="U281">IFERROR(INDEX(DFD!$D$2:$D$1048791,MATCH($Q281,DFD!$B$2:$B$1048791,0)),"")</f>
        <v/>
      </c>
      <c r="V281" s="94" t="str">
        <f t="array" ref="V281">IFERROR(INDEX(DFD!$F$2:$F$1048791,MATCH($Q281,DFD!$B$2:$B$1048791,0)),"")</f>
        <v/>
      </c>
      <c r="W281" s="97" t="str">
        <f t="array" ref="W281">IFERROR(INDEX(DFD!$E$2:$E$1048791,MATCH($Q281,DFD!$B$2:$B$1048791,0)),"")</f>
        <v/>
      </c>
      <c r="X281" s="97" t="str">
        <f t="array" ref="X281">IFERROR(INDEX(DFD!$K$2:$K$1048791,MATCH($Q281,DFD!$B$2:$B$1048791,0)),"")</f>
        <v/>
      </c>
      <c r="Y281" s="97" t="str">
        <f t="array" ref="Y281">IFERROR(INDEX(DFD!$L$2:$L$1048790,MATCH($Q281,DFD!$B$2:$B$1048790,0)),"")</f>
        <v/>
      </c>
      <c r="Z281" s="97">
        <f t="shared" si="11"/>
        <v>45</v>
      </c>
      <c r="AA281" s="87"/>
      <c r="AB281" s="87" t="s">
        <v>72</v>
      </c>
      <c r="AC281" s="87"/>
      <c r="AD281" s="99">
        <v>46043.0</v>
      </c>
      <c r="AE281" s="100">
        <f t="shared" si="8"/>
        <v>1</v>
      </c>
    </row>
    <row r="282" ht="15.75" customHeight="1">
      <c r="A282" s="59" t="s">
        <v>1047</v>
      </c>
      <c r="B282" s="59" t="s">
        <v>101</v>
      </c>
      <c r="C282" s="60" t="s">
        <v>1048</v>
      </c>
      <c r="D282" s="60" t="s">
        <v>51</v>
      </c>
      <c r="E282" s="60">
        <v>8.0</v>
      </c>
      <c r="F282" s="72">
        <v>648.0</v>
      </c>
      <c r="G282" s="73" t="s">
        <v>53</v>
      </c>
      <c r="H282" s="74">
        <v>46174.0</v>
      </c>
      <c r="I282" s="67" t="s">
        <v>17</v>
      </c>
      <c r="J282" s="67" t="s">
        <v>54</v>
      </c>
      <c r="K282" s="67" t="s">
        <v>66</v>
      </c>
      <c r="L282" s="67" t="s">
        <v>56</v>
      </c>
      <c r="M282" s="73" t="s">
        <v>167</v>
      </c>
      <c r="N282" s="67" t="s">
        <v>58</v>
      </c>
      <c r="O282" s="59" t="s">
        <v>69</v>
      </c>
      <c r="P282" s="59"/>
      <c r="Q282" s="59" t="s">
        <v>672</v>
      </c>
      <c r="R282" s="76" t="s">
        <v>269</v>
      </c>
      <c r="S282" s="59"/>
      <c r="T282" s="59"/>
      <c r="U282" s="77" t="str">
        <f t="array" ref="U282">IFERROR(INDEX(DFD!$D$2:$D$1048791,MATCH($Q282,DFD!$B$2:$B$1048791,0)),"")</f>
        <v/>
      </c>
      <c r="V282" s="77" t="str">
        <f t="array" ref="V282">IFERROR(INDEX(DFD!$F$2:$F$1048791,MATCH($Q282,DFD!$B$2:$B$1048791,0)),"")</f>
        <v/>
      </c>
      <c r="W282" s="84" t="str">
        <f t="array" ref="W282">IFERROR(INDEX(DFD!$E$2:$E$1048791,MATCH($Q282,DFD!$B$2:$B$1048791,0)),"")</f>
        <v/>
      </c>
      <c r="X282" s="84" t="str">
        <f t="array" ref="X282">IFERROR(INDEX(DFD!$K$2:$K$1048791,MATCH($Q282,DFD!$B$2:$B$1048791,0)),"")</f>
        <v/>
      </c>
      <c r="Y282" s="84" t="str">
        <f t="array" ref="Y282">IFERROR(INDEX(DFD!$L$2:$L$1048790,MATCH($Q282,DFD!$B$2:$B$1048790,0)),"")</f>
        <v/>
      </c>
      <c r="Z282" s="84">
        <f t="shared" si="11"/>
        <v>45</v>
      </c>
      <c r="AA282" s="59"/>
      <c r="AB282" s="59" t="s">
        <v>78</v>
      </c>
      <c r="AC282" s="59"/>
      <c r="AD282" s="85">
        <v>46043.0</v>
      </c>
      <c r="AE282" s="86">
        <f t="shared" si="8"/>
        <v>1</v>
      </c>
    </row>
    <row r="283" ht="15.75" customHeight="1">
      <c r="A283" s="87" t="s">
        <v>1051</v>
      </c>
      <c r="B283" s="87" t="s">
        <v>101</v>
      </c>
      <c r="C283" s="88" t="s">
        <v>1052</v>
      </c>
      <c r="D283" s="88" t="s">
        <v>884</v>
      </c>
      <c r="E283" s="88">
        <v>2.0</v>
      </c>
      <c r="F283" s="89">
        <v>113.4</v>
      </c>
      <c r="G283" s="90" t="s">
        <v>53</v>
      </c>
      <c r="H283" s="91">
        <v>46143.0</v>
      </c>
      <c r="I283" s="92" t="s">
        <v>17</v>
      </c>
      <c r="J283" s="92" t="s">
        <v>54</v>
      </c>
      <c r="K283" s="92" t="s">
        <v>66</v>
      </c>
      <c r="L283" s="92" t="s">
        <v>56</v>
      </c>
      <c r="M283" s="90" t="s">
        <v>68</v>
      </c>
      <c r="N283" s="92" t="s">
        <v>58</v>
      </c>
      <c r="O283" s="87" t="s">
        <v>69</v>
      </c>
      <c r="P283" s="87"/>
      <c r="Q283" s="87" t="s">
        <v>672</v>
      </c>
      <c r="R283" s="93" t="s">
        <v>269</v>
      </c>
      <c r="S283" s="87"/>
      <c r="T283" s="87"/>
      <c r="U283" s="94" t="str">
        <f t="array" ref="U283">IFERROR(INDEX(DFD!$D$2:$D$1048791,MATCH($Q283,DFD!$B$2:$B$1048791,0)),"")</f>
        <v/>
      </c>
      <c r="V283" s="94" t="str">
        <f t="array" ref="V283">IFERROR(INDEX(DFD!$F$2:$F$1048791,MATCH($Q283,DFD!$B$2:$B$1048791,0)),"")</f>
        <v/>
      </c>
      <c r="W283" s="97" t="str">
        <f t="array" ref="W283">IFERROR(INDEX(DFD!$E$2:$E$1048791,MATCH($Q283,DFD!$B$2:$B$1048791,0)),"")</f>
        <v/>
      </c>
      <c r="X283" s="97" t="str">
        <f t="array" ref="X283">IFERROR(INDEX(DFD!$K$2:$K$1048791,MATCH($Q283,DFD!$B$2:$B$1048791,0)),"")</f>
        <v/>
      </c>
      <c r="Y283" s="97" t="str">
        <f t="array" ref="Y283">IFERROR(INDEX(DFD!$L$2:$L$1048790,MATCH($Q283,DFD!$B$2:$B$1048790,0)),"")</f>
        <v/>
      </c>
      <c r="Z283" s="97">
        <f t="shared" si="11"/>
        <v>45</v>
      </c>
      <c r="AA283" s="87"/>
      <c r="AB283" s="87" t="s">
        <v>78</v>
      </c>
      <c r="AC283" s="87"/>
      <c r="AD283" s="99">
        <v>46043.0</v>
      </c>
      <c r="AE283" s="100">
        <f t="shared" si="8"/>
        <v>1</v>
      </c>
    </row>
    <row r="284" ht="15.75" customHeight="1">
      <c r="A284" s="67" t="s">
        <v>1056</v>
      </c>
      <c r="B284" s="59" t="s">
        <v>184</v>
      </c>
      <c r="C284" s="60" t="s">
        <v>1057</v>
      </c>
      <c r="D284" s="60" t="s">
        <v>51</v>
      </c>
      <c r="E284" s="60">
        <v>10.0</v>
      </c>
      <c r="F284" s="72">
        <v>48.0</v>
      </c>
      <c r="G284" s="73" t="s">
        <v>53</v>
      </c>
      <c r="H284" s="74">
        <v>46143.0</v>
      </c>
      <c r="I284" s="67" t="s">
        <v>17</v>
      </c>
      <c r="J284" s="67" t="s">
        <v>54</v>
      </c>
      <c r="K284" s="67" t="s">
        <v>66</v>
      </c>
      <c r="L284" s="67" t="s">
        <v>67</v>
      </c>
      <c r="M284" s="73" t="s">
        <v>167</v>
      </c>
      <c r="N284" s="67" t="s">
        <v>20</v>
      </c>
      <c r="O284" s="67" t="s">
        <v>89</v>
      </c>
      <c r="P284" s="59"/>
      <c r="Q284" s="59" t="s">
        <v>286</v>
      </c>
      <c r="R284" s="76" t="s">
        <v>287</v>
      </c>
      <c r="S284" s="59"/>
      <c r="T284" s="59"/>
      <c r="U284" s="77" t="str">
        <f t="array" ref="U284">IFERROR(INDEX(DFD!$D$2:$D$1048791,MATCH($Q284,DFD!$B$2:$B$1048791,0)),"")</f>
        <v/>
      </c>
      <c r="V284" s="77" t="str">
        <f t="array" ref="V284">IFERROR(INDEX(DFD!$F$2:$F$1048791,MATCH($Q284,DFD!$B$2:$B$1048791,0)),"")</f>
        <v/>
      </c>
      <c r="W284" s="84" t="str">
        <f t="array" ref="W284">IFERROR(INDEX(DFD!$E$2:$E$1048791,MATCH($Q284,DFD!$B$2:$B$1048791,0)),"")</f>
        <v/>
      </c>
      <c r="X284" s="84" t="str">
        <f t="array" ref="X284">IFERROR(INDEX(DFD!$K$2:$K$1048791,MATCH($Q284,DFD!$B$2:$B$1048791,0)),"")</f>
        <v/>
      </c>
      <c r="Y284" s="84" t="str">
        <f t="array" ref="Y284">IFERROR(INDEX(DFD!$L$2:$L$1048790,MATCH($Q284,DFD!$B$2:$B$1048790,0)),"")</f>
        <v/>
      </c>
      <c r="Z284" s="84">
        <f t="shared" si="11"/>
        <v>45</v>
      </c>
      <c r="AA284" s="59"/>
      <c r="AB284" s="59" t="s">
        <v>288</v>
      </c>
      <c r="AC284" s="59"/>
      <c r="AD284" s="85">
        <v>46043.0</v>
      </c>
      <c r="AE284" s="86">
        <f t="shared" si="8"/>
        <v>1</v>
      </c>
    </row>
    <row r="285" ht="15.75" customHeight="1">
      <c r="A285" s="92" t="s">
        <v>1060</v>
      </c>
      <c r="B285" s="87" t="s">
        <v>184</v>
      </c>
      <c r="C285" s="88" t="s">
        <v>1061</v>
      </c>
      <c r="D285" s="88" t="s">
        <v>1062</v>
      </c>
      <c r="E285" s="88">
        <v>10.0</v>
      </c>
      <c r="F285" s="89">
        <v>45.0</v>
      </c>
      <c r="G285" s="90" t="s">
        <v>53</v>
      </c>
      <c r="H285" s="91">
        <v>46143.0</v>
      </c>
      <c r="I285" s="92" t="s">
        <v>17</v>
      </c>
      <c r="J285" s="92" t="s">
        <v>54</v>
      </c>
      <c r="K285" s="92" t="s">
        <v>66</v>
      </c>
      <c r="L285" s="92" t="s">
        <v>67</v>
      </c>
      <c r="M285" s="90" t="s">
        <v>117</v>
      </c>
      <c r="N285" s="92" t="s">
        <v>20</v>
      </c>
      <c r="O285" s="87" t="s">
        <v>69</v>
      </c>
      <c r="P285" s="87"/>
      <c r="Q285" s="87" t="s">
        <v>286</v>
      </c>
      <c r="R285" s="93" t="s">
        <v>287</v>
      </c>
      <c r="S285" s="87"/>
      <c r="T285" s="87"/>
      <c r="U285" s="94" t="str">
        <f t="array" ref="U285">IFERROR(INDEX(DFD!$D$2:$D$1048791,MATCH($Q285,DFD!$B$2:$B$1048791,0)),"")</f>
        <v/>
      </c>
      <c r="V285" s="94" t="str">
        <f t="array" ref="V285">IFERROR(INDEX(DFD!$F$2:$F$1048791,MATCH($Q285,DFD!$B$2:$B$1048791,0)),"")</f>
        <v/>
      </c>
      <c r="W285" s="97" t="str">
        <f t="array" ref="W285">IFERROR(INDEX(DFD!$E$2:$E$1048791,MATCH($Q285,DFD!$B$2:$B$1048791,0)),"")</f>
        <v/>
      </c>
      <c r="X285" s="97" t="str">
        <f t="array" ref="X285">IFERROR(INDEX(DFD!$K$2:$K$1048791,MATCH($Q285,DFD!$B$2:$B$1048791,0)),"")</f>
        <v/>
      </c>
      <c r="Y285" s="97" t="str">
        <f t="array" ref="Y285">IFERROR(INDEX(DFD!$L$2:$L$1048790,MATCH($Q285,DFD!$B$2:$B$1048790,0)),"")</f>
        <v/>
      </c>
      <c r="Z285" s="97">
        <f t="shared" si="11"/>
        <v>45</v>
      </c>
      <c r="AA285" s="87"/>
      <c r="AB285" s="87" t="s">
        <v>288</v>
      </c>
      <c r="AC285" s="87"/>
      <c r="AD285" s="99">
        <v>46043.0</v>
      </c>
      <c r="AE285" s="100">
        <f t="shared" si="8"/>
        <v>1</v>
      </c>
    </row>
    <row r="286" ht="15.75" customHeight="1">
      <c r="A286" s="67" t="s">
        <v>1064</v>
      </c>
      <c r="B286" s="59" t="s">
        <v>184</v>
      </c>
      <c r="C286" s="60" t="s">
        <v>1065</v>
      </c>
      <c r="D286" s="60" t="s">
        <v>51</v>
      </c>
      <c r="E286" s="60">
        <v>150.0</v>
      </c>
      <c r="F286" s="72">
        <v>2070.0</v>
      </c>
      <c r="G286" s="73" t="s">
        <v>53</v>
      </c>
      <c r="H286" s="74">
        <v>46174.0</v>
      </c>
      <c r="I286" s="67" t="s">
        <v>17</v>
      </c>
      <c r="J286" s="67" t="s">
        <v>54</v>
      </c>
      <c r="K286" s="67" t="s">
        <v>66</v>
      </c>
      <c r="L286" s="67" t="s">
        <v>67</v>
      </c>
      <c r="M286" s="73" t="s">
        <v>117</v>
      </c>
      <c r="N286" s="67" t="s">
        <v>20</v>
      </c>
      <c r="O286" s="59" t="s">
        <v>69</v>
      </c>
      <c r="P286" s="59"/>
      <c r="Q286" s="59" t="s">
        <v>191</v>
      </c>
      <c r="R286" s="76" t="s">
        <v>187</v>
      </c>
      <c r="S286" s="59"/>
      <c r="T286" s="59"/>
      <c r="U286" s="77" t="str">
        <f t="array" ref="U286">IFERROR(INDEX(DFD!$D$2:$D$1048791,MATCH($Q286,DFD!$B$2:$B$1048791,0)),"")</f>
        <v/>
      </c>
      <c r="V286" s="77" t="str">
        <f t="array" ref="V286">IFERROR(INDEX(DFD!$F$2:$F$1048791,MATCH($Q286,DFD!$B$2:$B$1048791,0)),"")</f>
        <v/>
      </c>
      <c r="W286" s="84" t="str">
        <f t="array" ref="W286">IFERROR(INDEX(DFD!$E$2:$E$1048791,MATCH($Q286,DFD!$B$2:$B$1048791,0)),"")</f>
        <v/>
      </c>
      <c r="X286" s="84" t="str">
        <f t="array" ref="X286">IFERROR(INDEX(DFD!$K$2:$K$1048791,MATCH($Q286,DFD!$B$2:$B$1048791,0)),"")</f>
        <v/>
      </c>
      <c r="Y286" s="84" t="str">
        <f t="array" ref="Y286">IFERROR(INDEX(DFD!$L$2:$L$1048790,MATCH($Q286,DFD!$B$2:$B$1048790,0)),"")</f>
        <v/>
      </c>
      <c r="Z286" s="84">
        <f t="shared" si="11"/>
        <v>45</v>
      </c>
      <c r="AA286" s="59"/>
      <c r="AB286" s="59" t="s">
        <v>78</v>
      </c>
      <c r="AC286" s="59"/>
      <c r="AD286" s="85">
        <v>46043.0</v>
      </c>
      <c r="AE286" s="86">
        <f t="shared" si="8"/>
        <v>1</v>
      </c>
    </row>
    <row r="287" ht="15.75" customHeight="1">
      <c r="A287" s="87" t="s">
        <v>1066</v>
      </c>
      <c r="B287" s="87" t="s">
        <v>52</v>
      </c>
      <c r="C287" s="88" t="s">
        <v>1067</v>
      </c>
      <c r="D287" s="88" t="s">
        <v>51</v>
      </c>
      <c r="E287" s="88">
        <v>5000.0</v>
      </c>
      <c r="F287" s="89">
        <v>225000.0</v>
      </c>
      <c r="G287" s="90" t="s">
        <v>437</v>
      </c>
      <c r="H287" s="91">
        <v>46266.0</v>
      </c>
      <c r="I287" s="92" t="s">
        <v>17</v>
      </c>
      <c r="J287" s="92" t="s">
        <v>54</v>
      </c>
      <c r="K287" s="92" t="s">
        <v>721</v>
      </c>
      <c r="L287" s="92" t="s">
        <v>56</v>
      </c>
      <c r="M287" s="90" t="s">
        <v>112</v>
      </c>
      <c r="N287" s="92" t="s">
        <v>58</v>
      </c>
      <c r="O287" s="92" t="s">
        <v>89</v>
      </c>
      <c r="P287" s="87"/>
      <c r="Q287" s="87" t="s">
        <v>52</v>
      </c>
      <c r="R287" s="93" t="s">
        <v>1070</v>
      </c>
      <c r="S287" s="87"/>
      <c r="T287" s="87"/>
      <c r="U287" s="94" t="str">
        <f t="array" ref="U287">IFERROR(INDEX(DFD!$D$2:$D$1048791,MATCH($Q287,DFD!$B$2:$B$1048791,0)),"")</f>
        <v/>
      </c>
      <c r="V287" s="94" t="str">
        <f t="array" ref="V287">IFERROR(INDEX(DFD!$F$2:$F$1048791,MATCH($Q287,DFD!$B$2:$B$1048791,0)),"")</f>
        <v/>
      </c>
      <c r="W287" s="97" t="str">
        <f t="array" ref="W287">IFERROR(INDEX(DFD!$E$2:$E$1048791,MATCH($Q287,DFD!$B$2:$B$1048791,0)),"")</f>
        <v/>
      </c>
      <c r="X287" s="97" t="str">
        <f t="array" ref="X287">IFERROR(INDEX(DFD!$K$2:$K$1048791,MATCH($Q287,DFD!$B$2:$B$1048791,0)),"")</f>
        <v/>
      </c>
      <c r="Y287" s="97" t="str">
        <f t="array" ref="Y287">IFERROR(INDEX(DFD!$L$2:$L$1048790,MATCH($Q287,DFD!$B$2:$B$1048790,0)),"")</f>
        <v/>
      </c>
      <c r="Z287" s="97">
        <f t="shared" si="11"/>
        <v>45</v>
      </c>
      <c r="AA287" s="87"/>
      <c r="AB287" s="87" t="s">
        <v>72</v>
      </c>
      <c r="AC287" s="87"/>
      <c r="AD287" s="99">
        <v>46043.0</v>
      </c>
      <c r="AE287" s="100">
        <f t="shared" si="8"/>
        <v>1</v>
      </c>
    </row>
    <row r="288" ht="15.75" customHeight="1">
      <c r="A288" s="59" t="s">
        <v>1071</v>
      </c>
      <c r="B288" s="59" t="s">
        <v>162</v>
      </c>
      <c r="C288" s="60" t="s">
        <v>1072</v>
      </c>
      <c r="D288" s="60" t="s">
        <v>51</v>
      </c>
      <c r="E288" s="60">
        <v>480.0</v>
      </c>
      <c r="F288" s="72">
        <v>21600.0</v>
      </c>
      <c r="G288" s="73" t="s">
        <v>53</v>
      </c>
      <c r="H288" s="74">
        <v>46235.0</v>
      </c>
      <c r="I288" s="67" t="s">
        <v>17</v>
      </c>
      <c r="J288" s="67" t="s">
        <v>54</v>
      </c>
      <c r="K288" s="67" t="s">
        <v>66</v>
      </c>
      <c r="L288" s="67" t="s">
        <v>67</v>
      </c>
      <c r="M288" s="73" t="s">
        <v>104</v>
      </c>
      <c r="N288" s="67" t="s">
        <v>5</v>
      </c>
      <c r="O288" s="59" t="s">
        <v>69</v>
      </c>
      <c r="P288" s="59"/>
      <c r="Q288" s="59" t="s">
        <v>1074</v>
      </c>
      <c r="R288" s="76" t="s">
        <v>1075</v>
      </c>
      <c r="S288" s="59"/>
      <c r="T288" s="59"/>
      <c r="U288" s="77" t="str">
        <f t="array" ref="U288">IFERROR(INDEX(DFD!$D$2:$D$1048791,MATCH($Q288,DFD!$B$2:$B$1048791,0)),"")</f>
        <v/>
      </c>
      <c r="V288" s="77" t="str">
        <f t="array" ref="V288">IFERROR(INDEX(DFD!$F$2:$F$1048791,MATCH($Q288,DFD!$B$2:$B$1048791,0)),"")</f>
        <v/>
      </c>
      <c r="W288" s="84" t="str">
        <f t="array" ref="W288">IFERROR(INDEX(DFD!$E$2:$E$1048791,MATCH($Q288,DFD!$B$2:$B$1048791,0)),"")</f>
        <v/>
      </c>
      <c r="X288" s="84" t="str">
        <f t="array" ref="X288">IFERROR(INDEX(DFD!$K$2:$K$1048791,MATCH($Q288,DFD!$B$2:$B$1048791,0)),"")</f>
        <v/>
      </c>
      <c r="Y288" s="84" t="str">
        <f t="array" ref="Y288">IFERROR(INDEX(DFD!$L$2:$L$1048790,MATCH($Q288,DFD!$B$2:$B$1048790,0)),"")</f>
        <v/>
      </c>
      <c r="Z288" s="84">
        <f t="shared" si="11"/>
        <v>45</v>
      </c>
      <c r="AA288" s="59"/>
      <c r="AB288" s="59" t="s">
        <v>78</v>
      </c>
      <c r="AC288" s="59"/>
      <c r="AD288" s="85">
        <v>46043.0</v>
      </c>
      <c r="AE288" s="86">
        <f t="shared" si="8"/>
        <v>1</v>
      </c>
    </row>
    <row r="289" ht="15.75" customHeight="1">
      <c r="A289" s="87" t="s">
        <v>1076</v>
      </c>
      <c r="B289" s="87" t="s">
        <v>52</v>
      </c>
      <c r="C289" s="88" t="s">
        <v>1077</v>
      </c>
      <c r="D289" s="88" t="s">
        <v>51</v>
      </c>
      <c r="E289" s="88">
        <v>1000.0</v>
      </c>
      <c r="F289" s="89">
        <v>100000.0</v>
      </c>
      <c r="G289" s="90" t="s">
        <v>437</v>
      </c>
      <c r="H289" s="91">
        <v>46266.0</v>
      </c>
      <c r="I289" s="92" t="s">
        <v>17</v>
      </c>
      <c r="J289" s="92" t="s">
        <v>54</v>
      </c>
      <c r="K289" s="92" t="s">
        <v>66</v>
      </c>
      <c r="L289" s="92" t="s">
        <v>56</v>
      </c>
      <c r="M289" s="90" t="s">
        <v>68</v>
      </c>
      <c r="N289" s="92" t="s">
        <v>58</v>
      </c>
      <c r="O289" s="87" t="s">
        <v>69</v>
      </c>
      <c r="P289" s="87"/>
      <c r="Q289" s="87" t="s">
        <v>52</v>
      </c>
      <c r="R289" s="93" t="s">
        <v>1075</v>
      </c>
      <c r="S289" s="87"/>
      <c r="T289" s="87"/>
      <c r="U289" s="94" t="str">
        <f t="array" ref="U289">IFERROR(INDEX(DFD!$D$2:$D$1048791,MATCH($Q289,DFD!$B$2:$B$1048791,0)),"")</f>
        <v/>
      </c>
      <c r="V289" s="94" t="str">
        <f t="array" ref="V289">IFERROR(INDEX(DFD!$F$2:$F$1048791,MATCH($Q289,DFD!$B$2:$B$1048791,0)),"")</f>
        <v/>
      </c>
      <c r="W289" s="97" t="str">
        <f t="array" ref="W289">IFERROR(INDEX(DFD!$E$2:$E$1048791,MATCH($Q289,DFD!$B$2:$B$1048791,0)),"")</f>
        <v/>
      </c>
      <c r="X289" s="97" t="str">
        <f t="array" ref="X289">IFERROR(INDEX(DFD!$K$2:$K$1048791,MATCH($Q289,DFD!$B$2:$B$1048791,0)),"")</f>
        <v/>
      </c>
      <c r="Y289" s="97" t="str">
        <f t="array" ref="Y289">IFERROR(INDEX(DFD!$L$2:$L$1048790,MATCH($Q289,DFD!$B$2:$B$1048790,0)),"")</f>
        <v/>
      </c>
      <c r="Z289" s="97">
        <f t="shared" si="11"/>
        <v>45</v>
      </c>
      <c r="AA289" s="87"/>
      <c r="AB289" s="87" t="s">
        <v>72</v>
      </c>
      <c r="AC289" s="87"/>
      <c r="AD289" s="99">
        <v>46043.0</v>
      </c>
      <c r="AE289" s="100">
        <f t="shared" si="8"/>
        <v>1</v>
      </c>
    </row>
    <row r="290" ht="15.75" customHeight="1">
      <c r="A290" s="67" t="s">
        <v>1080</v>
      </c>
      <c r="B290" s="59" t="s">
        <v>184</v>
      </c>
      <c r="C290" s="60" t="s">
        <v>1081</v>
      </c>
      <c r="D290" s="60" t="s">
        <v>51</v>
      </c>
      <c r="E290" s="60">
        <v>50.0</v>
      </c>
      <c r="F290" s="72">
        <v>180.0</v>
      </c>
      <c r="G290" s="73" t="s">
        <v>53</v>
      </c>
      <c r="H290" s="74">
        <v>46143.0</v>
      </c>
      <c r="I290" s="67" t="s">
        <v>17</v>
      </c>
      <c r="J290" s="67" t="s">
        <v>54</v>
      </c>
      <c r="K290" s="67" t="s">
        <v>66</v>
      </c>
      <c r="L290" s="67" t="s">
        <v>67</v>
      </c>
      <c r="M290" s="73" t="s">
        <v>57</v>
      </c>
      <c r="N290" s="67" t="s">
        <v>20</v>
      </c>
      <c r="O290" s="67" t="s">
        <v>89</v>
      </c>
      <c r="P290" s="59"/>
      <c r="Q290" s="59" t="s">
        <v>286</v>
      </c>
      <c r="R290" s="76" t="s">
        <v>287</v>
      </c>
      <c r="S290" s="59"/>
      <c r="T290" s="59"/>
      <c r="U290" s="77" t="str">
        <f t="array" ref="U290">IFERROR(INDEX(DFD!$D$2:$D$1048791,MATCH($Q290,DFD!$B$2:$B$1048791,0)),"")</f>
        <v/>
      </c>
      <c r="V290" s="77" t="str">
        <f t="array" ref="V290">IFERROR(INDEX(DFD!$F$2:$F$1048791,MATCH($Q290,DFD!$B$2:$B$1048791,0)),"")</f>
        <v/>
      </c>
      <c r="W290" s="84" t="str">
        <f t="array" ref="W290">IFERROR(INDEX(DFD!$E$2:$E$1048791,MATCH($Q290,DFD!$B$2:$B$1048791,0)),"")</f>
        <v/>
      </c>
      <c r="X290" s="84" t="str">
        <f t="array" ref="X290">IFERROR(INDEX(DFD!$K$2:$K$1048791,MATCH($Q290,DFD!$B$2:$B$1048791,0)),"")</f>
        <v/>
      </c>
      <c r="Y290" s="84" t="str">
        <f t="array" ref="Y290">IFERROR(INDEX(DFD!$L$2:$L$1048790,MATCH($Q290,DFD!$B$2:$B$1048790,0)),"")</f>
        <v/>
      </c>
      <c r="Z290" s="84">
        <f t="shared" si="11"/>
        <v>45</v>
      </c>
      <c r="AA290" s="59"/>
      <c r="AB290" s="59" t="s">
        <v>288</v>
      </c>
      <c r="AC290" s="59"/>
      <c r="AD290" s="85">
        <v>46043.0</v>
      </c>
      <c r="AE290" s="86">
        <f t="shared" si="8"/>
        <v>1</v>
      </c>
    </row>
    <row r="291" ht="15.75" customHeight="1">
      <c r="A291" s="92" t="s">
        <v>1083</v>
      </c>
      <c r="B291" s="87" t="s">
        <v>107</v>
      </c>
      <c r="C291" s="88" t="s">
        <v>1084</v>
      </c>
      <c r="D291" s="88" t="s">
        <v>51</v>
      </c>
      <c r="E291" s="88">
        <v>5.0</v>
      </c>
      <c r="F291" s="89">
        <v>40.0</v>
      </c>
      <c r="G291" s="90" t="s">
        <v>53</v>
      </c>
      <c r="H291" s="91">
        <v>46143.0</v>
      </c>
      <c r="I291" s="92" t="s">
        <v>17</v>
      </c>
      <c r="J291" s="92" t="s">
        <v>54</v>
      </c>
      <c r="K291" s="92" t="s">
        <v>66</v>
      </c>
      <c r="L291" s="92" t="s">
        <v>56</v>
      </c>
      <c r="M291" s="90" t="s">
        <v>132</v>
      </c>
      <c r="N291" s="92" t="s">
        <v>20</v>
      </c>
      <c r="O291" s="87" t="s">
        <v>69</v>
      </c>
      <c r="P291" s="87"/>
      <c r="Q291" s="87" t="s">
        <v>800</v>
      </c>
      <c r="R291" s="93" t="s">
        <v>287</v>
      </c>
      <c r="S291" s="87"/>
      <c r="T291" s="87"/>
      <c r="U291" s="94" t="str">
        <f t="array" ref="U291">IFERROR(INDEX(DFD!$D$2:$D$1048791,MATCH($Q291,DFD!$B$2:$B$1048791,0)),"")</f>
        <v/>
      </c>
      <c r="V291" s="94" t="str">
        <f t="array" ref="V291">IFERROR(INDEX(DFD!$F$2:$F$1048791,MATCH($Q291,DFD!$B$2:$B$1048791,0)),"")</f>
        <v/>
      </c>
      <c r="W291" s="97" t="str">
        <f t="array" ref="W291">IFERROR(INDEX(DFD!$E$2:$E$1048791,MATCH($Q291,DFD!$B$2:$B$1048791,0)),"")</f>
        <v/>
      </c>
      <c r="X291" s="97" t="str">
        <f t="array" ref="X291">IFERROR(INDEX(DFD!$K$2:$K$1048791,MATCH($Q291,DFD!$B$2:$B$1048791,0)),"")</f>
        <v/>
      </c>
      <c r="Y291" s="97" t="str">
        <f t="array" ref="Y291">IFERROR(INDEX(DFD!$L$2:$L$1048790,MATCH($Q291,DFD!$B$2:$B$1048790,0)),"")</f>
        <v/>
      </c>
      <c r="Z291" s="97">
        <f t="shared" si="11"/>
        <v>45</v>
      </c>
      <c r="AA291" s="87"/>
      <c r="AB291" s="87" t="s">
        <v>78</v>
      </c>
      <c r="AC291" s="87"/>
      <c r="AD291" s="99">
        <v>46043.0</v>
      </c>
      <c r="AE291" s="100">
        <f t="shared" si="8"/>
        <v>1</v>
      </c>
    </row>
    <row r="292" ht="15.75" customHeight="1">
      <c r="A292" s="67" t="s">
        <v>1086</v>
      </c>
      <c r="B292" s="59" t="s">
        <v>184</v>
      </c>
      <c r="C292" s="60" t="s">
        <v>1087</v>
      </c>
      <c r="D292" s="60" t="s">
        <v>51</v>
      </c>
      <c r="E292" s="60">
        <v>150.0</v>
      </c>
      <c r="F292" s="72">
        <v>3900.0</v>
      </c>
      <c r="G292" s="73" t="s">
        <v>53</v>
      </c>
      <c r="H292" s="74">
        <v>46174.0</v>
      </c>
      <c r="I292" s="67" t="s">
        <v>17</v>
      </c>
      <c r="J292" s="67" t="s">
        <v>54</v>
      </c>
      <c r="K292" s="67" t="s">
        <v>66</v>
      </c>
      <c r="L292" s="67" t="s">
        <v>67</v>
      </c>
      <c r="M292" s="73" t="s">
        <v>132</v>
      </c>
      <c r="N292" s="67" t="s">
        <v>20</v>
      </c>
      <c r="O292" s="59" t="s">
        <v>69</v>
      </c>
      <c r="P292" s="59"/>
      <c r="Q292" s="59" t="s">
        <v>672</v>
      </c>
      <c r="R292" s="76" t="s">
        <v>269</v>
      </c>
      <c r="S292" s="59"/>
      <c r="T292" s="59"/>
      <c r="U292" s="77" t="str">
        <f t="array" ref="U292">IFERROR(INDEX(DFD!$D$2:$D$1048791,MATCH($Q292,DFD!$B$2:$B$1048791,0)),"")</f>
        <v/>
      </c>
      <c r="V292" s="77" t="str">
        <f t="array" ref="V292">IFERROR(INDEX(DFD!$F$2:$F$1048791,MATCH($Q292,DFD!$B$2:$B$1048791,0)),"")</f>
        <v/>
      </c>
      <c r="W292" s="84" t="str">
        <f t="array" ref="W292">IFERROR(INDEX(DFD!$E$2:$E$1048791,MATCH($Q292,DFD!$B$2:$B$1048791,0)),"")</f>
        <v/>
      </c>
      <c r="X292" s="84" t="str">
        <f t="array" ref="X292">IFERROR(INDEX(DFD!$K$2:$K$1048791,MATCH($Q292,DFD!$B$2:$B$1048791,0)),"")</f>
        <v/>
      </c>
      <c r="Y292" s="84" t="str">
        <f t="array" ref="Y292">IFERROR(INDEX(DFD!$L$2:$L$1048790,MATCH($Q292,DFD!$B$2:$B$1048790,0)),"")</f>
        <v/>
      </c>
      <c r="Z292" s="84">
        <f t="shared" si="11"/>
        <v>45</v>
      </c>
      <c r="AA292" s="59"/>
      <c r="AB292" s="59" t="s">
        <v>78</v>
      </c>
      <c r="AC292" s="59"/>
      <c r="AD292" s="85">
        <v>46043.0</v>
      </c>
      <c r="AE292" s="86">
        <f t="shared" si="8"/>
        <v>1</v>
      </c>
    </row>
    <row r="293" ht="15.75" customHeight="1">
      <c r="A293" s="92" t="s">
        <v>1089</v>
      </c>
      <c r="B293" s="87" t="s">
        <v>184</v>
      </c>
      <c r="C293" s="88" t="s">
        <v>1090</v>
      </c>
      <c r="D293" s="88" t="s">
        <v>51</v>
      </c>
      <c r="E293" s="88">
        <v>150.0</v>
      </c>
      <c r="F293" s="89">
        <v>3900.0</v>
      </c>
      <c r="G293" s="90" t="s">
        <v>53</v>
      </c>
      <c r="H293" s="91">
        <v>46174.0</v>
      </c>
      <c r="I293" s="92" t="s">
        <v>17</v>
      </c>
      <c r="J293" s="92" t="s">
        <v>54</v>
      </c>
      <c r="K293" s="92" t="s">
        <v>66</v>
      </c>
      <c r="L293" s="92" t="s">
        <v>67</v>
      </c>
      <c r="M293" s="90" t="s">
        <v>132</v>
      </c>
      <c r="N293" s="92" t="s">
        <v>20</v>
      </c>
      <c r="O293" s="92" t="s">
        <v>89</v>
      </c>
      <c r="P293" s="87"/>
      <c r="Q293" s="87" t="s">
        <v>672</v>
      </c>
      <c r="R293" s="93" t="s">
        <v>269</v>
      </c>
      <c r="S293" s="87"/>
      <c r="T293" s="87"/>
      <c r="U293" s="94" t="str">
        <f t="array" ref="U293">IFERROR(INDEX(DFD!$D$2:$D$1048791,MATCH($Q293,DFD!$B$2:$B$1048791,0)),"")</f>
        <v/>
      </c>
      <c r="V293" s="94" t="str">
        <f t="array" ref="V293">IFERROR(INDEX(DFD!$F$2:$F$1048791,MATCH($Q293,DFD!$B$2:$B$1048791,0)),"")</f>
        <v/>
      </c>
      <c r="W293" s="97" t="str">
        <f t="array" ref="W293">IFERROR(INDEX(DFD!$E$2:$E$1048791,MATCH($Q293,DFD!$B$2:$B$1048791,0)),"")</f>
        <v/>
      </c>
      <c r="X293" s="97" t="str">
        <f t="array" ref="X293">IFERROR(INDEX(DFD!$K$2:$K$1048791,MATCH($Q293,DFD!$B$2:$B$1048791,0)),"")</f>
        <v/>
      </c>
      <c r="Y293" s="97" t="str">
        <f t="array" ref="Y293">IFERROR(INDEX(DFD!$L$2:$L$1048790,MATCH($Q293,DFD!$B$2:$B$1048790,0)),"")</f>
        <v/>
      </c>
      <c r="Z293" s="97">
        <f t="shared" si="11"/>
        <v>45</v>
      </c>
      <c r="AA293" s="87"/>
      <c r="AB293" s="87" t="s">
        <v>78</v>
      </c>
      <c r="AC293" s="87"/>
      <c r="AD293" s="99">
        <v>46043.0</v>
      </c>
      <c r="AE293" s="100">
        <f t="shared" si="8"/>
        <v>1</v>
      </c>
    </row>
    <row r="294" ht="15.75" customHeight="1">
      <c r="A294" s="67" t="s">
        <v>1092</v>
      </c>
      <c r="B294" s="59" t="s">
        <v>184</v>
      </c>
      <c r="C294" s="60" t="s">
        <v>1093</v>
      </c>
      <c r="D294" s="60" t="s">
        <v>51</v>
      </c>
      <c r="E294" s="60">
        <v>200.0</v>
      </c>
      <c r="F294" s="72">
        <v>5200.0</v>
      </c>
      <c r="G294" s="73" t="s">
        <v>53</v>
      </c>
      <c r="H294" s="74">
        <v>46204.0</v>
      </c>
      <c r="I294" s="67" t="s">
        <v>17</v>
      </c>
      <c r="J294" s="67" t="s">
        <v>54</v>
      </c>
      <c r="K294" s="67" t="s">
        <v>66</v>
      </c>
      <c r="L294" s="67" t="s">
        <v>67</v>
      </c>
      <c r="M294" s="73" t="s">
        <v>132</v>
      </c>
      <c r="N294" s="67" t="s">
        <v>20</v>
      </c>
      <c r="O294" s="59" t="s">
        <v>69</v>
      </c>
      <c r="P294" s="59"/>
      <c r="Q294" s="59" t="s">
        <v>672</v>
      </c>
      <c r="R294" s="76" t="s">
        <v>269</v>
      </c>
      <c r="S294" s="59"/>
      <c r="T294" s="59"/>
      <c r="U294" s="77" t="str">
        <f t="array" ref="U294">IFERROR(INDEX(DFD!$D$2:$D$1048791,MATCH($Q294,DFD!$B$2:$B$1048791,0)),"")</f>
        <v/>
      </c>
      <c r="V294" s="77" t="str">
        <f t="array" ref="V294">IFERROR(INDEX(DFD!$F$2:$F$1048791,MATCH($Q294,DFD!$B$2:$B$1048791,0)),"")</f>
        <v/>
      </c>
      <c r="W294" s="84" t="str">
        <f t="array" ref="W294">IFERROR(INDEX(DFD!$E$2:$E$1048791,MATCH($Q294,DFD!$B$2:$B$1048791,0)),"")</f>
        <v/>
      </c>
      <c r="X294" s="84" t="str">
        <f t="array" ref="X294">IFERROR(INDEX(DFD!$K$2:$K$1048791,MATCH($Q294,DFD!$B$2:$B$1048791,0)),"")</f>
        <v/>
      </c>
      <c r="Y294" s="84" t="str">
        <f t="array" ref="Y294">IFERROR(INDEX(DFD!$L$2:$L$1048790,MATCH($Q294,DFD!$B$2:$B$1048790,0)),"")</f>
        <v/>
      </c>
      <c r="Z294" s="84">
        <f t="shared" si="11"/>
        <v>45</v>
      </c>
      <c r="AA294" s="59"/>
      <c r="AB294" s="59" t="s">
        <v>78</v>
      </c>
      <c r="AC294" s="59"/>
      <c r="AD294" s="85">
        <v>46043.0</v>
      </c>
      <c r="AE294" s="86">
        <f t="shared" si="8"/>
        <v>1</v>
      </c>
    </row>
    <row r="295" ht="15.75" customHeight="1">
      <c r="A295" s="92" t="s">
        <v>1094</v>
      </c>
      <c r="B295" s="87" t="s">
        <v>184</v>
      </c>
      <c r="C295" s="88" t="s">
        <v>1095</v>
      </c>
      <c r="D295" s="88" t="s">
        <v>51</v>
      </c>
      <c r="E295" s="88">
        <v>300.0</v>
      </c>
      <c r="F295" s="89">
        <v>7800.0</v>
      </c>
      <c r="G295" s="90" t="s">
        <v>53</v>
      </c>
      <c r="H295" s="91">
        <v>46204.0</v>
      </c>
      <c r="I295" s="92" t="s">
        <v>17</v>
      </c>
      <c r="J295" s="92" t="s">
        <v>54</v>
      </c>
      <c r="K295" s="92" t="s">
        <v>66</v>
      </c>
      <c r="L295" s="92" t="s">
        <v>67</v>
      </c>
      <c r="M295" s="90" t="s">
        <v>1097</v>
      </c>
      <c r="N295" s="92" t="s">
        <v>20</v>
      </c>
      <c r="O295" s="87" t="s">
        <v>69</v>
      </c>
      <c r="P295" s="87"/>
      <c r="Q295" s="87" t="s">
        <v>672</v>
      </c>
      <c r="R295" s="93" t="s">
        <v>269</v>
      </c>
      <c r="S295" s="87"/>
      <c r="T295" s="87"/>
      <c r="U295" s="94" t="str">
        <f t="array" ref="U295">IFERROR(INDEX(DFD!$D$2:$D$1048791,MATCH($Q295,DFD!$B$2:$B$1048791,0)),"")</f>
        <v/>
      </c>
      <c r="V295" s="94" t="str">
        <f t="array" ref="V295">IFERROR(INDEX(DFD!$F$2:$F$1048791,MATCH($Q295,DFD!$B$2:$B$1048791,0)),"")</f>
        <v/>
      </c>
      <c r="W295" s="97" t="str">
        <f t="array" ref="W295">IFERROR(INDEX(DFD!$E$2:$E$1048791,MATCH($Q295,DFD!$B$2:$B$1048791,0)),"")</f>
        <v/>
      </c>
      <c r="X295" s="97" t="str">
        <f t="array" ref="X295">IFERROR(INDEX(DFD!$K$2:$K$1048791,MATCH($Q295,DFD!$B$2:$B$1048791,0)),"")</f>
        <v/>
      </c>
      <c r="Y295" s="97" t="str">
        <f t="array" ref="Y295">IFERROR(INDEX(DFD!$L$2:$L$1048790,MATCH($Q295,DFD!$B$2:$B$1048790,0)),"")</f>
        <v/>
      </c>
      <c r="Z295" s="97">
        <f t="shared" si="11"/>
        <v>45</v>
      </c>
      <c r="AA295" s="87"/>
      <c r="AB295" s="87" t="s">
        <v>78</v>
      </c>
      <c r="AC295" s="87"/>
      <c r="AD295" s="99">
        <v>46043.0</v>
      </c>
      <c r="AE295" s="100">
        <f t="shared" si="8"/>
        <v>1</v>
      </c>
    </row>
    <row r="296" ht="15.75" customHeight="1">
      <c r="A296" s="67" t="s">
        <v>1099</v>
      </c>
      <c r="B296" s="59" t="s">
        <v>184</v>
      </c>
      <c r="C296" s="60" t="s">
        <v>1100</v>
      </c>
      <c r="D296" s="60" t="s">
        <v>51</v>
      </c>
      <c r="E296" s="60">
        <v>80.0</v>
      </c>
      <c r="F296" s="72">
        <v>36000.0</v>
      </c>
      <c r="G296" s="73" t="s">
        <v>53</v>
      </c>
      <c r="H296" s="74">
        <v>46235.0</v>
      </c>
      <c r="I296" s="67" t="s">
        <v>17</v>
      </c>
      <c r="J296" s="67" t="s">
        <v>54</v>
      </c>
      <c r="K296" s="67" t="s">
        <v>66</v>
      </c>
      <c r="L296" s="67" t="s">
        <v>56</v>
      </c>
      <c r="M296" s="73" t="s">
        <v>104</v>
      </c>
      <c r="N296" s="67" t="s">
        <v>20</v>
      </c>
      <c r="O296" s="67" t="s">
        <v>89</v>
      </c>
      <c r="P296" s="59"/>
      <c r="Q296" s="59" t="s">
        <v>887</v>
      </c>
      <c r="R296" s="76" t="s">
        <v>373</v>
      </c>
      <c r="S296" s="59"/>
      <c r="T296" s="59"/>
      <c r="U296" s="77" t="str">
        <f t="array" ref="U296">IFERROR(INDEX(DFD!$D$2:$D$1048791,MATCH($Q296,DFD!$B$2:$B$1048791,0)),"")</f>
        <v/>
      </c>
      <c r="V296" s="77" t="str">
        <f t="array" ref="V296">IFERROR(INDEX(DFD!$F$2:$F$1048791,MATCH($Q296,DFD!$B$2:$B$1048791,0)),"")</f>
        <v/>
      </c>
      <c r="W296" s="84" t="str">
        <f t="array" ref="W296">IFERROR(INDEX(DFD!$E$2:$E$1048791,MATCH($Q296,DFD!$B$2:$B$1048791,0)),"")</f>
        <v/>
      </c>
      <c r="X296" s="84" t="str">
        <f t="array" ref="X296">IFERROR(INDEX(DFD!$K$2:$K$1048791,MATCH($Q296,DFD!$B$2:$B$1048791,0)),"")</f>
        <v/>
      </c>
      <c r="Y296" s="84" t="str">
        <f t="array" ref="Y296">IFERROR(INDEX(DFD!$L$2:$L$1048790,MATCH($Q296,DFD!$B$2:$B$1048790,0)),"")</f>
        <v/>
      </c>
      <c r="Z296" s="84">
        <f t="shared" si="11"/>
        <v>45</v>
      </c>
      <c r="AA296" s="59"/>
      <c r="AB296" s="59" t="s">
        <v>78</v>
      </c>
      <c r="AC296" s="59"/>
      <c r="AD296" s="85">
        <v>46043.0</v>
      </c>
      <c r="AE296" s="86">
        <f t="shared" si="8"/>
        <v>1</v>
      </c>
    </row>
    <row r="297" ht="15.75" customHeight="1">
      <c r="A297" s="92" t="s">
        <v>1103</v>
      </c>
      <c r="B297" s="87" t="s">
        <v>184</v>
      </c>
      <c r="C297" s="88" t="s">
        <v>1104</v>
      </c>
      <c r="D297" s="88" t="s">
        <v>1105</v>
      </c>
      <c r="E297" s="88">
        <v>10.0</v>
      </c>
      <c r="F297" s="89">
        <v>250.0</v>
      </c>
      <c r="G297" s="90" t="s">
        <v>53</v>
      </c>
      <c r="H297" s="91">
        <v>46143.0</v>
      </c>
      <c r="I297" s="92" t="s">
        <v>17</v>
      </c>
      <c r="J297" s="92" t="s">
        <v>54</v>
      </c>
      <c r="K297" s="92" t="s">
        <v>66</v>
      </c>
      <c r="L297" s="92" t="s">
        <v>67</v>
      </c>
      <c r="M297" s="90" t="s">
        <v>132</v>
      </c>
      <c r="N297" s="92" t="s">
        <v>20</v>
      </c>
      <c r="O297" s="87" t="s">
        <v>69</v>
      </c>
      <c r="P297" s="87"/>
      <c r="Q297" s="87" t="s">
        <v>800</v>
      </c>
      <c r="R297" s="93" t="s">
        <v>287</v>
      </c>
      <c r="S297" s="87"/>
      <c r="T297" s="87"/>
      <c r="U297" s="94" t="str">
        <f t="array" ref="U297">IFERROR(INDEX(DFD!$D$2:$D$1048791,MATCH($Q297,DFD!$B$2:$B$1048791,0)),"")</f>
        <v/>
      </c>
      <c r="V297" s="94" t="str">
        <f t="array" ref="V297">IFERROR(INDEX(DFD!$F$2:$F$1048791,MATCH($Q297,DFD!$B$2:$B$1048791,0)),"")</f>
        <v/>
      </c>
      <c r="W297" s="97" t="str">
        <f t="array" ref="W297">IFERROR(INDEX(DFD!$E$2:$E$1048791,MATCH($Q297,DFD!$B$2:$B$1048791,0)),"")</f>
        <v/>
      </c>
      <c r="X297" s="97" t="str">
        <f t="array" ref="X297">IFERROR(INDEX(DFD!$K$2:$K$1048791,MATCH($Q297,DFD!$B$2:$B$1048791,0)),"")</f>
        <v/>
      </c>
      <c r="Y297" s="97" t="str">
        <f t="array" ref="Y297">IFERROR(INDEX(DFD!$L$2:$L$1048790,MATCH($Q297,DFD!$B$2:$B$1048790,0)),"")</f>
        <v/>
      </c>
      <c r="Z297" s="97">
        <f t="shared" si="11"/>
        <v>45</v>
      </c>
      <c r="AA297" s="87"/>
      <c r="AB297" s="87" t="s">
        <v>78</v>
      </c>
      <c r="AC297" s="87"/>
      <c r="AD297" s="99">
        <v>46043.0</v>
      </c>
      <c r="AE297" s="100">
        <f t="shared" si="8"/>
        <v>1</v>
      </c>
    </row>
    <row r="298" ht="15.75" customHeight="1">
      <c r="A298" s="67" t="s">
        <v>1108</v>
      </c>
      <c r="B298" s="59" t="s">
        <v>184</v>
      </c>
      <c r="C298" s="60" t="s">
        <v>1109</v>
      </c>
      <c r="D298" s="60" t="s">
        <v>1105</v>
      </c>
      <c r="E298" s="60">
        <v>10.0</v>
      </c>
      <c r="F298" s="72">
        <v>150.0</v>
      </c>
      <c r="G298" s="73" t="s">
        <v>53</v>
      </c>
      <c r="H298" s="74">
        <v>46143.0</v>
      </c>
      <c r="I298" s="67" t="s">
        <v>17</v>
      </c>
      <c r="J298" s="67" t="s">
        <v>54</v>
      </c>
      <c r="K298" s="67" t="s">
        <v>66</v>
      </c>
      <c r="L298" s="67" t="s">
        <v>67</v>
      </c>
      <c r="M298" s="73" t="s">
        <v>132</v>
      </c>
      <c r="N298" s="67" t="s">
        <v>20</v>
      </c>
      <c r="O298" s="59" t="s">
        <v>69</v>
      </c>
      <c r="P298" s="59"/>
      <c r="Q298" s="59" t="s">
        <v>800</v>
      </c>
      <c r="R298" s="76" t="s">
        <v>287</v>
      </c>
      <c r="S298" s="59"/>
      <c r="T298" s="59"/>
      <c r="U298" s="77" t="str">
        <f t="array" ref="U298">IFERROR(INDEX(DFD!$D$2:$D$1048791,MATCH($Q298,DFD!$B$2:$B$1048791,0)),"")</f>
        <v/>
      </c>
      <c r="V298" s="77" t="str">
        <f t="array" ref="V298">IFERROR(INDEX(DFD!$F$2:$F$1048791,MATCH($Q298,DFD!$B$2:$B$1048791,0)),"")</f>
        <v/>
      </c>
      <c r="W298" s="84" t="str">
        <f t="array" ref="W298">IFERROR(INDEX(DFD!$E$2:$E$1048791,MATCH($Q298,DFD!$B$2:$B$1048791,0)),"")</f>
        <v/>
      </c>
      <c r="X298" s="84" t="str">
        <f t="array" ref="X298">IFERROR(INDEX(DFD!$K$2:$K$1048791,MATCH($Q298,DFD!$B$2:$B$1048791,0)),"")</f>
        <v/>
      </c>
      <c r="Y298" s="84" t="str">
        <f t="array" ref="Y298">IFERROR(INDEX(DFD!$L$2:$L$1048790,MATCH($Q298,DFD!$B$2:$B$1048790,0)),"")</f>
        <v/>
      </c>
      <c r="Z298" s="84">
        <f t="shared" si="11"/>
        <v>45</v>
      </c>
      <c r="AA298" s="59"/>
      <c r="AB298" s="59" t="s">
        <v>78</v>
      </c>
      <c r="AC298" s="59"/>
      <c r="AD298" s="85">
        <v>46043.0</v>
      </c>
      <c r="AE298" s="86">
        <f t="shared" si="8"/>
        <v>1</v>
      </c>
    </row>
    <row r="299" ht="15.75" customHeight="1">
      <c r="A299" s="87" t="s">
        <v>1111</v>
      </c>
      <c r="B299" s="87" t="s">
        <v>92</v>
      </c>
      <c r="C299" s="88" t="s">
        <v>1112</v>
      </c>
      <c r="D299" s="88" t="s">
        <v>51</v>
      </c>
      <c r="E299" s="88">
        <v>4.0</v>
      </c>
      <c r="F299" s="89">
        <v>3200.0</v>
      </c>
      <c r="G299" s="90" t="s">
        <v>53</v>
      </c>
      <c r="H299" s="91">
        <v>46174.0</v>
      </c>
      <c r="I299" s="92" t="s">
        <v>17</v>
      </c>
      <c r="J299" s="92" t="s">
        <v>54</v>
      </c>
      <c r="K299" s="92" t="s">
        <v>66</v>
      </c>
      <c r="L299" s="92" t="s">
        <v>67</v>
      </c>
      <c r="M299" s="90" t="s">
        <v>132</v>
      </c>
      <c r="N299" s="92" t="s">
        <v>5</v>
      </c>
      <c r="O299" s="92" t="s">
        <v>89</v>
      </c>
      <c r="P299" s="87"/>
      <c r="Q299" s="87" t="s">
        <v>128</v>
      </c>
      <c r="R299" s="93" t="s">
        <v>71</v>
      </c>
      <c r="S299" s="87"/>
      <c r="T299" s="87"/>
      <c r="U299" s="94" t="str">
        <f t="array" ref="U299">IFERROR(INDEX(DFD!$D$2:$D$1048791,MATCH($Q299,DFD!$B$2:$B$1048791,0)),"")</f>
        <v/>
      </c>
      <c r="V299" s="94" t="str">
        <f t="array" ref="V299">IFERROR(INDEX(DFD!$F$2:$F$1048791,MATCH($Q299,DFD!$B$2:$B$1048791,0)),"")</f>
        <v/>
      </c>
      <c r="W299" s="97" t="str">
        <f t="array" ref="W299">IFERROR(INDEX(DFD!$E$2:$E$1048791,MATCH($Q299,DFD!$B$2:$B$1048791,0)),"")</f>
        <v/>
      </c>
      <c r="X299" s="97" t="str">
        <f t="array" ref="X299">IFERROR(INDEX(DFD!$K$2:$K$1048791,MATCH($Q299,DFD!$B$2:$B$1048791,0)),"")</f>
        <v/>
      </c>
      <c r="Y299" s="97" t="str">
        <f t="array" ref="Y299">IFERROR(INDEX(DFD!$L$2:$L$1048790,MATCH($Q299,DFD!$B$2:$B$1048790,0)),"")</f>
        <v/>
      </c>
      <c r="Z299" s="97">
        <f t="shared" si="11"/>
        <v>45</v>
      </c>
      <c r="AA299" s="87"/>
      <c r="AB299" s="87" t="s">
        <v>78</v>
      </c>
      <c r="AC299" s="87"/>
      <c r="AD299" s="99">
        <v>46043.0</v>
      </c>
      <c r="AE299" s="100">
        <f t="shared" si="8"/>
        <v>1</v>
      </c>
    </row>
    <row r="300" ht="15.75" customHeight="1">
      <c r="A300" s="59" t="s">
        <v>1115</v>
      </c>
      <c r="B300" s="59" t="s">
        <v>101</v>
      </c>
      <c r="C300" s="60" t="s">
        <v>1116</v>
      </c>
      <c r="D300" s="60" t="s">
        <v>51</v>
      </c>
      <c r="E300" s="60">
        <v>30.0</v>
      </c>
      <c r="F300" s="72">
        <v>10080.0</v>
      </c>
      <c r="G300" s="73" t="s">
        <v>53</v>
      </c>
      <c r="H300" s="74">
        <v>46204.0</v>
      </c>
      <c r="I300" s="67" t="s">
        <v>17</v>
      </c>
      <c r="J300" s="67" t="s">
        <v>54</v>
      </c>
      <c r="K300" s="67" t="s">
        <v>66</v>
      </c>
      <c r="L300" s="67" t="s">
        <v>56</v>
      </c>
      <c r="M300" s="73" t="s">
        <v>112</v>
      </c>
      <c r="N300" s="67" t="s">
        <v>58</v>
      </c>
      <c r="O300" s="59" t="s">
        <v>69</v>
      </c>
      <c r="P300" s="59"/>
      <c r="Q300" s="59" t="s">
        <v>1117</v>
      </c>
      <c r="R300" s="76" t="s">
        <v>71</v>
      </c>
      <c r="S300" s="59"/>
      <c r="T300" s="59"/>
      <c r="U300" s="77" t="str">
        <f t="array" ref="U300">IFERROR(INDEX(DFD!$D$2:$D$1048791,MATCH($Q300,DFD!$B$2:$B$1048791,0)),"")</f>
        <v/>
      </c>
      <c r="V300" s="77" t="str">
        <f t="array" ref="V300">IFERROR(INDEX(DFD!$F$2:$F$1048791,MATCH($Q300,DFD!$B$2:$B$1048791,0)),"")</f>
        <v/>
      </c>
      <c r="W300" s="84" t="str">
        <f t="array" ref="W300">IFERROR(INDEX(DFD!$E$2:$E$1048791,MATCH($Q300,DFD!$B$2:$B$1048791,0)),"")</f>
        <v/>
      </c>
      <c r="X300" s="84" t="str">
        <f t="array" ref="X300">IFERROR(INDEX(DFD!$K$2:$K$1048791,MATCH($Q300,DFD!$B$2:$B$1048791,0)),"")</f>
        <v/>
      </c>
      <c r="Y300" s="84" t="str">
        <f t="array" ref="Y300">IFERROR(INDEX(DFD!$L$2:$L$1048790,MATCH($Q300,DFD!$B$2:$B$1048790,0)),"")</f>
        <v/>
      </c>
      <c r="Z300" s="84">
        <f t="shared" si="11"/>
        <v>45</v>
      </c>
      <c r="AA300" s="59"/>
      <c r="AB300" s="59" t="s">
        <v>78</v>
      </c>
      <c r="AC300" s="59"/>
      <c r="AD300" s="85">
        <v>46043.0</v>
      </c>
      <c r="AE300" s="86">
        <f t="shared" si="8"/>
        <v>1</v>
      </c>
    </row>
    <row r="301" ht="15.75" customHeight="1">
      <c r="A301" s="87" t="s">
        <v>1119</v>
      </c>
      <c r="B301" s="87" t="s">
        <v>101</v>
      </c>
      <c r="C301" s="88" t="s">
        <v>1120</v>
      </c>
      <c r="D301" s="88" t="s">
        <v>51</v>
      </c>
      <c r="E301" s="88">
        <v>5.0</v>
      </c>
      <c r="F301" s="89">
        <v>8000.0</v>
      </c>
      <c r="G301" s="90" t="s">
        <v>53</v>
      </c>
      <c r="H301" s="91">
        <v>46204.0</v>
      </c>
      <c r="I301" s="92" t="s">
        <v>17</v>
      </c>
      <c r="J301" s="92" t="s">
        <v>54</v>
      </c>
      <c r="K301" s="92" t="s">
        <v>66</v>
      </c>
      <c r="L301" s="92" t="s">
        <v>56</v>
      </c>
      <c r="M301" s="90" t="s">
        <v>104</v>
      </c>
      <c r="N301" s="92" t="s">
        <v>58</v>
      </c>
      <c r="O301" s="87" t="s">
        <v>69</v>
      </c>
      <c r="P301" s="87"/>
      <c r="Q301" s="87" t="s">
        <v>1121</v>
      </c>
      <c r="R301" s="93" t="s">
        <v>1122</v>
      </c>
      <c r="S301" s="87"/>
      <c r="T301" s="87"/>
      <c r="U301" s="94" t="str">
        <f t="array" ref="U301">IFERROR(INDEX(DFD!$D$2:$D$1048791,MATCH($Q301,DFD!$B$2:$B$1048791,0)),"")</f>
        <v/>
      </c>
      <c r="V301" s="94" t="str">
        <f t="array" ref="V301">IFERROR(INDEX(DFD!$F$2:$F$1048791,MATCH($Q301,DFD!$B$2:$B$1048791,0)),"")</f>
        <v/>
      </c>
      <c r="W301" s="97" t="str">
        <f t="array" ref="W301">IFERROR(INDEX(DFD!$E$2:$E$1048791,MATCH($Q301,DFD!$B$2:$B$1048791,0)),"")</f>
        <v/>
      </c>
      <c r="X301" s="97" t="str">
        <f t="array" ref="X301">IFERROR(INDEX(DFD!$K$2:$K$1048791,MATCH($Q301,DFD!$B$2:$B$1048791,0)),"")</f>
        <v/>
      </c>
      <c r="Y301" s="97" t="str">
        <f t="array" ref="Y301">IFERROR(INDEX(DFD!$L$2:$L$1048790,MATCH($Q301,DFD!$B$2:$B$1048790,0)),"")</f>
        <v/>
      </c>
      <c r="Z301" s="97">
        <f t="shared" si="11"/>
        <v>45</v>
      </c>
      <c r="AA301" s="87"/>
      <c r="AB301" s="87" t="s">
        <v>78</v>
      </c>
      <c r="AC301" s="87"/>
      <c r="AD301" s="99">
        <v>46043.0</v>
      </c>
      <c r="AE301" s="100">
        <f t="shared" si="8"/>
        <v>1</v>
      </c>
    </row>
    <row r="302" ht="15.75" customHeight="1">
      <c r="A302" s="59" t="s">
        <v>1126</v>
      </c>
      <c r="B302" s="59" t="s">
        <v>105</v>
      </c>
      <c r="C302" s="60" t="s">
        <v>1127</v>
      </c>
      <c r="D302" s="60" t="s">
        <v>51</v>
      </c>
      <c r="E302" s="60">
        <v>6.0</v>
      </c>
      <c r="F302" s="72">
        <v>15000.0</v>
      </c>
      <c r="G302" s="73" t="s">
        <v>53</v>
      </c>
      <c r="H302" s="74">
        <v>46235.0</v>
      </c>
      <c r="I302" s="67" t="s">
        <v>17</v>
      </c>
      <c r="J302" s="67" t="s">
        <v>54</v>
      </c>
      <c r="K302" s="67" t="s">
        <v>66</v>
      </c>
      <c r="L302" s="67" t="s">
        <v>67</v>
      </c>
      <c r="M302" s="73" t="s">
        <v>132</v>
      </c>
      <c r="N302" s="67" t="s">
        <v>20</v>
      </c>
      <c r="O302" s="59" t="s">
        <v>1128</v>
      </c>
      <c r="P302" s="59"/>
      <c r="Q302" s="59" t="s">
        <v>1129</v>
      </c>
      <c r="R302" s="76" t="s">
        <v>71</v>
      </c>
      <c r="S302" s="59"/>
      <c r="T302" s="59"/>
      <c r="U302" s="77" t="str">
        <f t="array" ref="U302">IFERROR(INDEX(DFD!$D$2:$D$1048791,MATCH($Q302,DFD!$B$2:$B$1048791,0)),"")</f>
        <v/>
      </c>
      <c r="V302" s="77" t="str">
        <f t="array" ref="V302">IFERROR(INDEX(DFD!$F$2:$F$1048791,MATCH($Q302,DFD!$B$2:$B$1048791,0)),"")</f>
        <v/>
      </c>
      <c r="W302" s="84" t="str">
        <f t="array" ref="W302">IFERROR(INDEX(DFD!$E$2:$E$1048791,MATCH($Q302,DFD!$B$2:$B$1048791,0)),"")</f>
        <v/>
      </c>
      <c r="X302" s="84" t="str">
        <f t="array" ref="X302">IFERROR(INDEX(DFD!$K$2:$K$1048791,MATCH($Q302,DFD!$B$2:$B$1048791,0)),"")</f>
        <v/>
      </c>
      <c r="Y302" s="84" t="str">
        <f t="array" ref="Y302">IFERROR(INDEX(DFD!$L$2:$L$1048790,MATCH($Q302,DFD!$B$2:$B$1048790,0)),"")</f>
        <v/>
      </c>
      <c r="Z302" s="84">
        <f t="shared" si="11"/>
        <v>45</v>
      </c>
      <c r="AA302" s="59"/>
      <c r="AB302" s="59" t="s">
        <v>1131</v>
      </c>
      <c r="AC302" s="59"/>
      <c r="AD302" s="85">
        <v>46043.0</v>
      </c>
      <c r="AE302" s="86">
        <f t="shared" si="8"/>
        <v>1</v>
      </c>
    </row>
    <row r="303" ht="15.75" customHeight="1">
      <c r="A303" s="87" t="s">
        <v>1132</v>
      </c>
      <c r="B303" s="87" t="s">
        <v>123</v>
      </c>
      <c r="C303" s="88" t="s">
        <v>1133</v>
      </c>
      <c r="D303" s="88" t="s">
        <v>51</v>
      </c>
      <c r="E303" s="88">
        <v>12.0</v>
      </c>
      <c r="F303" s="89">
        <v>4800.0</v>
      </c>
      <c r="G303" s="90" t="s">
        <v>53</v>
      </c>
      <c r="H303" s="91">
        <v>46204.0</v>
      </c>
      <c r="I303" s="92" t="s">
        <v>17</v>
      </c>
      <c r="J303" s="92" t="s">
        <v>54</v>
      </c>
      <c r="K303" s="92" t="s">
        <v>66</v>
      </c>
      <c r="L303" s="92" t="s">
        <v>67</v>
      </c>
      <c r="M303" s="90" t="s">
        <v>132</v>
      </c>
      <c r="N303" s="92" t="s">
        <v>5</v>
      </c>
      <c r="O303" s="92" t="s">
        <v>89</v>
      </c>
      <c r="P303" s="87"/>
      <c r="Q303" s="87" t="s">
        <v>128</v>
      </c>
      <c r="R303" s="93" t="s">
        <v>71</v>
      </c>
      <c r="S303" s="87"/>
      <c r="T303" s="87"/>
      <c r="U303" s="94" t="str">
        <f t="array" ref="U303">IFERROR(INDEX(DFD!$D$2:$D$1048791,MATCH($Q303,DFD!$B$2:$B$1048791,0)),"")</f>
        <v/>
      </c>
      <c r="V303" s="94" t="str">
        <f t="array" ref="V303">IFERROR(INDEX(DFD!$F$2:$F$1048791,MATCH($Q303,DFD!$B$2:$B$1048791,0)),"")</f>
        <v/>
      </c>
      <c r="W303" s="97" t="str">
        <f t="array" ref="W303">IFERROR(INDEX(DFD!$E$2:$E$1048791,MATCH($Q303,DFD!$B$2:$B$1048791,0)),"")</f>
        <v/>
      </c>
      <c r="X303" s="97" t="str">
        <f t="array" ref="X303">IFERROR(INDEX(DFD!$K$2:$K$1048791,MATCH($Q303,DFD!$B$2:$B$1048791,0)),"")</f>
        <v/>
      </c>
      <c r="Y303" s="97" t="str">
        <f t="array" ref="Y303">IFERROR(INDEX(DFD!$L$2:$L$1048790,MATCH($Q303,DFD!$B$2:$B$1048790,0)),"")</f>
        <v/>
      </c>
      <c r="Z303" s="97">
        <f t="shared" si="11"/>
        <v>45</v>
      </c>
      <c r="AA303" s="87"/>
      <c r="AB303" s="87" t="s">
        <v>78</v>
      </c>
      <c r="AC303" s="87"/>
      <c r="AD303" s="99">
        <v>46043.0</v>
      </c>
      <c r="AE303" s="100">
        <f t="shared" si="8"/>
        <v>1</v>
      </c>
    </row>
    <row r="304" ht="15.75" customHeight="1">
      <c r="A304" s="59" t="s">
        <v>1136</v>
      </c>
      <c r="B304" s="59" t="s">
        <v>91</v>
      </c>
      <c r="C304" s="60" t="s">
        <v>1133</v>
      </c>
      <c r="D304" s="60" t="s">
        <v>51</v>
      </c>
      <c r="E304" s="60">
        <v>5.0</v>
      </c>
      <c r="F304" s="72">
        <v>2000.0</v>
      </c>
      <c r="G304" s="73" t="s">
        <v>53</v>
      </c>
      <c r="H304" s="74">
        <v>46174.0</v>
      </c>
      <c r="I304" s="67" t="s">
        <v>17</v>
      </c>
      <c r="J304" s="67" t="s">
        <v>54</v>
      </c>
      <c r="K304" s="67" t="s">
        <v>66</v>
      </c>
      <c r="L304" s="67" t="s">
        <v>67</v>
      </c>
      <c r="M304" s="73" t="s">
        <v>132</v>
      </c>
      <c r="N304" s="67" t="s">
        <v>5</v>
      </c>
      <c r="O304" s="59" t="s">
        <v>69</v>
      </c>
      <c r="P304" s="59"/>
      <c r="Q304" s="59" t="s">
        <v>128</v>
      </c>
      <c r="R304" s="76" t="s">
        <v>71</v>
      </c>
      <c r="S304" s="59"/>
      <c r="T304" s="59"/>
      <c r="U304" s="77" t="str">
        <f t="array" ref="U304">IFERROR(INDEX(DFD!$D$2:$D$1048791,MATCH($Q304,DFD!$B$2:$B$1048791,0)),"")</f>
        <v/>
      </c>
      <c r="V304" s="77" t="str">
        <f t="array" ref="V304">IFERROR(INDEX(DFD!$F$2:$F$1048791,MATCH($Q304,DFD!$B$2:$B$1048791,0)),"")</f>
        <v/>
      </c>
      <c r="W304" s="84" t="str">
        <f t="array" ref="W304">IFERROR(INDEX(DFD!$E$2:$E$1048791,MATCH($Q304,DFD!$B$2:$B$1048791,0)),"")</f>
        <v/>
      </c>
      <c r="X304" s="84" t="str">
        <f t="array" ref="X304">IFERROR(INDEX(DFD!$K$2:$K$1048791,MATCH($Q304,DFD!$B$2:$B$1048791,0)),"")</f>
        <v/>
      </c>
      <c r="Y304" s="84" t="str">
        <f t="array" ref="Y304">IFERROR(INDEX(DFD!$L$2:$L$1048790,MATCH($Q304,DFD!$B$2:$B$1048790,0)),"")</f>
        <v/>
      </c>
      <c r="Z304" s="84">
        <f t="shared" si="11"/>
        <v>45</v>
      </c>
      <c r="AA304" s="59"/>
      <c r="AB304" s="59" t="s">
        <v>78</v>
      </c>
      <c r="AC304" s="59"/>
      <c r="AD304" s="85">
        <v>46043.0</v>
      </c>
      <c r="AE304" s="86">
        <f t="shared" si="8"/>
        <v>1</v>
      </c>
    </row>
    <row r="305" ht="15.75" customHeight="1">
      <c r="A305" s="92" t="s">
        <v>1142</v>
      </c>
      <c r="B305" s="87" t="s">
        <v>174</v>
      </c>
      <c r="C305" s="88" t="s">
        <v>1143</v>
      </c>
      <c r="D305" s="88" t="s">
        <v>51</v>
      </c>
      <c r="E305" s="88">
        <v>6.0</v>
      </c>
      <c r="F305" s="89">
        <v>4800.0</v>
      </c>
      <c r="G305" s="90" t="s">
        <v>53</v>
      </c>
      <c r="H305" s="91">
        <v>46204.0</v>
      </c>
      <c r="I305" s="92" t="s">
        <v>17</v>
      </c>
      <c r="J305" s="92" t="s">
        <v>54</v>
      </c>
      <c r="K305" s="92" t="s">
        <v>66</v>
      </c>
      <c r="L305" s="92" t="s">
        <v>56</v>
      </c>
      <c r="M305" s="90" t="s">
        <v>117</v>
      </c>
      <c r="N305" s="92" t="s">
        <v>20</v>
      </c>
      <c r="O305" s="87" t="s">
        <v>69</v>
      </c>
      <c r="P305" s="87"/>
      <c r="Q305" s="87" t="s">
        <v>534</v>
      </c>
      <c r="R305" s="93" t="s">
        <v>187</v>
      </c>
      <c r="S305" s="87"/>
      <c r="T305" s="87"/>
      <c r="U305" s="94" t="str">
        <f t="array" ref="U305">IFERROR(INDEX(DFD!$D$2:$D$1048791,MATCH($Q305,DFD!$B$2:$B$1048791,0)),"")</f>
        <v/>
      </c>
      <c r="V305" s="94" t="str">
        <f t="array" ref="V305">IFERROR(INDEX(DFD!$F$2:$F$1048791,MATCH($Q305,DFD!$B$2:$B$1048791,0)),"")</f>
        <v/>
      </c>
      <c r="W305" s="97" t="str">
        <f t="array" ref="W305">IFERROR(INDEX(DFD!$E$2:$E$1048791,MATCH($Q305,DFD!$B$2:$B$1048791,0)),"")</f>
        <v/>
      </c>
      <c r="X305" s="97" t="str">
        <f t="array" ref="X305">IFERROR(INDEX(DFD!$K$2:$K$1048791,MATCH($Q305,DFD!$B$2:$B$1048791,0)),"")</f>
        <v/>
      </c>
      <c r="Y305" s="97" t="str">
        <f t="array" ref="Y305">IFERROR(INDEX(DFD!$L$2:$L$1048790,MATCH($Q305,DFD!$B$2:$B$1048790,0)),"")</f>
        <v/>
      </c>
      <c r="Z305" s="97">
        <f t="shared" si="11"/>
        <v>45</v>
      </c>
      <c r="AA305" s="87"/>
      <c r="AB305" s="87" t="s">
        <v>78</v>
      </c>
      <c r="AC305" s="87"/>
      <c r="AD305" s="99">
        <v>46043.0</v>
      </c>
      <c r="AE305" s="100">
        <f t="shared" si="8"/>
        <v>1</v>
      </c>
    </row>
    <row r="306" ht="15.75" customHeight="1">
      <c r="A306" s="59" t="s">
        <v>1144</v>
      </c>
      <c r="B306" s="59" t="s">
        <v>148</v>
      </c>
      <c r="C306" s="60" t="s">
        <v>1146</v>
      </c>
      <c r="D306" s="60" t="s">
        <v>51</v>
      </c>
      <c r="E306" s="60">
        <v>10.0</v>
      </c>
      <c r="F306" s="72">
        <v>50.0</v>
      </c>
      <c r="G306" s="73" t="s">
        <v>53</v>
      </c>
      <c r="H306" s="74">
        <v>46143.0</v>
      </c>
      <c r="I306" s="67" t="s">
        <v>17</v>
      </c>
      <c r="J306" s="67" t="s">
        <v>54</v>
      </c>
      <c r="K306" s="67" t="s">
        <v>66</v>
      </c>
      <c r="L306" s="67" t="s">
        <v>67</v>
      </c>
      <c r="M306" s="73" t="s">
        <v>68</v>
      </c>
      <c r="N306" s="67" t="s">
        <v>5</v>
      </c>
      <c r="O306" s="67" t="s">
        <v>89</v>
      </c>
      <c r="P306" s="59"/>
      <c r="Q306" s="59" t="s">
        <v>576</v>
      </c>
      <c r="R306" s="76" t="s">
        <v>577</v>
      </c>
      <c r="S306" s="59"/>
      <c r="T306" s="59"/>
      <c r="U306" s="77" t="str">
        <f t="array" ref="U306">IFERROR(INDEX(DFD!$D$2:$D$1048791,MATCH($Q306,DFD!$B$2:$B$1048791,0)),"")</f>
        <v/>
      </c>
      <c r="V306" s="77" t="s">
        <v>280</v>
      </c>
      <c r="W306" s="84" t="str">
        <f t="array" ref="W306">IFERROR(INDEX(DFD!$E$2:$E$1048791,MATCH($Q306,DFD!$B$2:$B$1048791,0)),"")</f>
        <v/>
      </c>
      <c r="X306" s="84" t="str">
        <f t="array" ref="X306">IFERROR(INDEX(DFD!$K$2:$K$1048791,MATCH($Q306,DFD!$B$2:$B$1048791,0)),"")</f>
        <v/>
      </c>
      <c r="Y306" s="84" t="str">
        <f t="array" ref="Y306">IFERROR(INDEX(DFD!$L$2:$L$1048790,MATCH($Q306,DFD!$B$2:$B$1048790,0)),"")</f>
        <v/>
      </c>
      <c r="Z306" s="84">
        <f t="shared" si="11"/>
        <v>45</v>
      </c>
      <c r="AA306" s="59"/>
      <c r="AB306" s="59" t="s">
        <v>78</v>
      </c>
      <c r="AC306" s="59"/>
      <c r="AD306" s="85">
        <v>46043.0</v>
      </c>
      <c r="AE306" s="86">
        <f t="shared" si="8"/>
        <v>1</v>
      </c>
    </row>
    <row r="307" ht="15.75" customHeight="1">
      <c r="A307" s="87" t="s">
        <v>1149</v>
      </c>
      <c r="B307" s="87" t="s">
        <v>464</v>
      </c>
      <c r="C307" s="116" t="s">
        <v>1150</v>
      </c>
      <c r="D307" s="88" t="s">
        <v>51</v>
      </c>
      <c r="E307" s="88">
        <v>1.0</v>
      </c>
      <c r="F307" s="89">
        <v>160000.0</v>
      </c>
      <c r="G307" s="90" t="s">
        <v>437</v>
      </c>
      <c r="H307" s="91">
        <v>46266.0</v>
      </c>
      <c r="I307" s="92" t="s">
        <v>17</v>
      </c>
      <c r="J307" s="92" t="s">
        <v>54</v>
      </c>
      <c r="K307" s="92" t="s">
        <v>1151</v>
      </c>
      <c r="L307" s="92" t="s">
        <v>67</v>
      </c>
      <c r="M307" s="90" t="s">
        <v>1153</v>
      </c>
      <c r="N307" s="92" t="s">
        <v>5</v>
      </c>
      <c r="O307" s="87" t="s">
        <v>69</v>
      </c>
      <c r="P307" s="87"/>
      <c r="Q307" s="87" t="s">
        <v>467</v>
      </c>
      <c r="R307" s="93" t="s">
        <v>1150</v>
      </c>
      <c r="S307" s="87"/>
      <c r="T307" s="87"/>
      <c r="U307" s="94" t="str">
        <f t="array" ref="U307">IFERROR(INDEX(DFD!$D$2:$D$1048791,MATCH($Q307,DFD!$B$2:$B$1048791,0)),"")</f>
        <v/>
      </c>
      <c r="V307" s="94" t="str">
        <f t="array" ref="V307">IFERROR(INDEX(DFD!$F$2:$F$1048791,MATCH($Q307,DFD!$B$2:$B$1048791,0)),"")</f>
        <v/>
      </c>
      <c r="W307" s="97" t="str">
        <f t="array" ref="W307">IFERROR(INDEX(DFD!$E$2:$E$1048791,MATCH($Q307,DFD!$B$2:$B$1048791,0)),"")</f>
        <v/>
      </c>
      <c r="X307" s="97" t="str">
        <f t="array" ref="X307">IFERROR(INDEX(DFD!$K$2:$K$1048791,MATCH($Q307,DFD!$B$2:$B$1048791,0)),"")</f>
        <v/>
      </c>
      <c r="Y307" s="97" t="str">
        <f t="array" ref="Y307">IFERROR(INDEX(DFD!$L$2:$L$1048790,MATCH($Q307,DFD!$B$2:$B$1048790,0)),"")</f>
        <v/>
      </c>
      <c r="Z307" s="97">
        <f t="shared" si="11"/>
        <v>45</v>
      </c>
      <c r="AA307" s="87"/>
      <c r="AB307" s="87" t="s">
        <v>288</v>
      </c>
      <c r="AC307" s="87"/>
      <c r="AD307" s="99">
        <v>46043.0</v>
      </c>
      <c r="AE307" s="100">
        <f t="shared" si="8"/>
        <v>1</v>
      </c>
    </row>
    <row r="308" ht="15.75" customHeight="1">
      <c r="A308" s="59" t="s">
        <v>1158</v>
      </c>
      <c r="B308" s="59" t="s">
        <v>81</v>
      </c>
      <c r="C308" s="60" t="s">
        <v>1159</v>
      </c>
      <c r="D308" s="60" t="s">
        <v>51</v>
      </c>
      <c r="E308" s="60">
        <v>10.0</v>
      </c>
      <c r="F308" s="72">
        <v>6000.0</v>
      </c>
      <c r="G308" s="73" t="s">
        <v>53</v>
      </c>
      <c r="H308" s="74">
        <v>46204.0</v>
      </c>
      <c r="I308" s="67" t="s">
        <v>17</v>
      </c>
      <c r="J308" s="67" t="s">
        <v>54</v>
      </c>
      <c r="K308" s="67" t="s">
        <v>66</v>
      </c>
      <c r="L308" s="67" t="s">
        <v>67</v>
      </c>
      <c r="M308" s="73" t="s">
        <v>68</v>
      </c>
      <c r="N308" s="67" t="s">
        <v>5</v>
      </c>
      <c r="O308" s="59" t="s">
        <v>69</v>
      </c>
      <c r="P308" s="59"/>
      <c r="Q308" s="59">
        <v>2025.0</v>
      </c>
      <c r="R308" s="76" t="s">
        <v>71</v>
      </c>
      <c r="S308" s="59"/>
      <c r="T308" s="59"/>
      <c r="U308" s="77" t="s">
        <v>1161</v>
      </c>
      <c r="V308" s="59" t="s">
        <v>98</v>
      </c>
      <c r="W308" s="84" t="str">
        <f t="array" ref="W308">IFERROR(INDEX(DFD!$E$2:$E$1048791,MATCH($Q308,DFD!$B$2:$B$1048791,0)),"")</f>
        <v/>
      </c>
      <c r="X308" s="84" t="str">
        <f t="array" ref="X308">IFERROR(INDEX(DFD!$K$2:$K$1048791,MATCH($Q308,DFD!$B$2:$B$1048791,0)),"")</f>
        <v/>
      </c>
      <c r="Y308" s="84" t="str">
        <f t="array" ref="Y308">IFERROR(INDEX(DFD!$L$2:$L$1048790,MATCH($Q308,DFD!$B$2:$B$1048790,0)),"")</f>
        <v/>
      </c>
      <c r="Z308" s="84">
        <f t="shared" si="11"/>
        <v>45</v>
      </c>
      <c r="AA308" s="59"/>
      <c r="AB308" s="59" t="s">
        <v>78</v>
      </c>
      <c r="AC308" s="59"/>
      <c r="AD308" s="85">
        <v>46043.0</v>
      </c>
      <c r="AE308" s="86">
        <f t="shared" si="8"/>
        <v>1</v>
      </c>
    </row>
    <row r="309" ht="15.75" customHeight="1">
      <c r="A309" s="87" t="s">
        <v>1163</v>
      </c>
      <c r="B309" s="87" t="s">
        <v>101</v>
      </c>
      <c r="C309" s="88" t="s">
        <v>1165</v>
      </c>
      <c r="D309" s="88" t="s">
        <v>51</v>
      </c>
      <c r="E309" s="88">
        <v>20.0</v>
      </c>
      <c r="F309" s="89">
        <v>830.0</v>
      </c>
      <c r="G309" s="90" t="s">
        <v>53</v>
      </c>
      <c r="H309" s="91">
        <v>46174.0</v>
      </c>
      <c r="I309" s="92" t="s">
        <v>17</v>
      </c>
      <c r="J309" s="92" t="s">
        <v>54</v>
      </c>
      <c r="K309" s="92" t="s">
        <v>66</v>
      </c>
      <c r="L309" s="92" t="s">
        <v>56</v>
      </c>
      <c r="M309" s="90" t="s">
        <v>132</v>
      </c>
      <c r="N309" s="92" t="s">
        <v>58</v>
      </c>
      <c r="O309" s="92" t="s">
        <v>89</v>
      </c>
      <c r="P309" s="87"/>
      <c r="Q309" s="87" t="s">
        <v>268</v>
      </c>
      <c r="R309" s="93" t="s">
        <v>269</v>
      </c>
      <c r="S309" s="87"/>
      <c r="T309" s="87"/>
      <c r="U309" s="94" t="str">
        <f t="array" ref="U309">IFERROR(INDEX(DFD!$D$2:$D$1048791,MATCH($Q309,DFD!$B$2:$B$1048791,0)),"")</f>
        <v/>
      </c>
      <c r="V309" s="94" t="str">
        <f t="array" ref="V309">IFERROR(INDEX(DFD!$F$2:$F$1048791,MATCH($Q309,DFD!$B$2:$B$1048791,0)),"")</f>
        <v/>
      </c>
      <c r="W309" s="97" t="str">
        <f t="array" ref="W309">IFERROR(INDEX(DFD!$E$2:$E$1048791,MATCH($Q309,DFD!$B$2:$B$1048791,0)),"")</f>
        <v/>
      </c>
      <c r="X309" s="97" t="str">
        <f t="array" ref="X309">IFERROR(INDEX(DFD!$K$2:$K$1048791,MATCH($Q309,DFD!$B$2:$B$1048791,0)),"")</f>
        <v/>
      </c>
      <c r="Y309" s="97" t="str">
        <f t="array" ref="Y309">IFERROR(INDEX(DFD!$L$2:$L$1048790,MATCH($Q309,DFD!$B$2:$B$1048790,0)),"")</f>
        <v/>
      </c>
      <c r="Z309" s="97">
        <f t="shared" si="11"/>
        <v>45</v>
      </c>
      <c r="AA309" s="87"/>
      <c r="AB309" s="87" t="s">
        <v>78</v>
      </c>
      <c r="AC309" s="87"/>
      <c r="AD309" s="99">
        <v>46043.0</v>
      </c>
      <c r="AE309" s="100">
        <f t="shared" si="8"/>
        <v>1</v>
      </c>
    </row>
    <row r="310" ht="15.75" customHeight="1">
      <c r="A310" s="59" t="s">
        <v>1174</v>
      </c>
      <c r="B310" s="59" t="s">
        <v>101</v>
      </c>
      <c r="C310" s="60" t="s">
        <v>1175</v>
      </c>
      <c r="D310" s="60" t="s">
        <v>51</v>
      </c>
      <c r="E310" s="60">
        <v>50.0</v>
      </c>
      <c r="F310" s="72">
        <v>200.0</v>
      </c>
      <c r="G310" s="73" t="s">
        <v>53</v>
      </c>
      <c r="H310" s="74">
        <v>46143.0</v>
      </c>
      <c r="I310" s="67" t="s">
        <v>17</v>
      </c>
      <c r="J310" s="67" t="s">
        <v>54</v>
      </c>
      <c r="K310" s="67" t="s">
        <v>66</v>
      </c>
      <c r="L310" s="67" t="s">
        <v>56</v>
      </c>
      <c r="M310" s="73" t="s">
        <v>132</v>
      </c>
      <c r="N310" s="67" t="s">
        <v>58</v>
      </c>
      <c r="O310" s="59" t="s">
        <v>69</v>
      </c>
      <c r="P310" s="59"/>
      <c r="Q310" s="59" t="s">
        <v>268</v>
      </c>
      <c r="R310" s="76" t="s">
        <v>269</v>
      </c>
      <c r="S310" s="59"/>
      <c r="T310" s="59"/>
      <c r="U310" s="77" t="str">
        <f t="array" ref="U310">IFERROR(INDEX(DFD!$D$2:$D$1048791,MATCH($Q310,DFD!$B$2:$B$1048791,0)),"")</f>
        <v/>
      </c>
      <c r="V310" s="77" t="str">
        <f t="array" ref="V310">IFERROR(INDEX(DFD!$F$2:$F$1048791,MATCH($Q310,DFD!$B$2:$B$1048791,0)),"")</f>
        <v/>
      </c>
      <c r="W310" s="84" t="str">
        <f t="array" ref="W310">IFERROR(INDEX(DFD!$E$2:$E$1048791,MATCH($Q310,DFD!$B$2:$B$1048791,0)),"")</f>
        <v/>
      </c>
      <c r="X310" s="84" t="str">
        <f t="array" ref="X310">IFERROR(INDEX(DFD!$K$2:$K$1048791,MATCH($Q310,DFD!$B$2:$B$1048791,0)),"")</f>
        <v/>
      </c>
      <c r="Y310" s="84" t="str">
        <f t="array" ref="Y310">IFERROR(INDEX(DFD!$L$2:$L$1048790,MATCH($Q310,DFD!$B$2:$B$1048790,0)),"")</f>
        <v/>
      </c>
      <c r="Z310" s="84">
        <f t="shared" si="11"/>
        <v>45</v>
      </c>
      <c r="AA310" s="59"/>
      <c r="AB310" s="59" t="s">
        <v>78</v>
      </c>
      <c r="AC310" s="59"/>
      <c r="AD310" s="85">
        <v>46043.0</v>
      </c>
      <c r="AE310" s="86">
        <f t="shared" si="8"/>
        <v>1</v>
      </c>
    </row>
    <row r="311" ht="15.75" customHeight="1">
      <c r="A311" s="92" t="s">
        <v>1180</v>
      </c>
      <c r="B311" s="87" t="s">
        <v>49</v>
      </c>
      <c r="C311" s="88" t="s">
        <v>1181</v>
      </c>
      <c r="D311" s="88" t="s">
        <v>51</v>
      </c>
      <c r="E311" s="88">
        <v>12.0</v>
      </c>
      <c r="F311" s="89">
        <v>52551.24</v>
      </c>
      <c r="G311" s="90" t="s">
        <v>53</v>
      </c>
      <c r="H311" s="91">
        <v>46266.0</v>
      </c>
      <c r="I311" s="92" t="s">
        <v>18</v>
      </c>
      <c r="J311" s="92" t="s">
        <v>54</v>
      </c>
      <c r="K311" s="92" t="s">
        <v>83</v>
      </c>
      <c r="L311" s="92" t="s">
        <v>67</v>
      </c>
      <c r="M311" s="90" t="s">
        <v>1183</v>
      </c>
      <c r="N311" s="92" t="s">
        <v>20</v>
      </c>
      <c r="O311" s="87" t="s">
        <v>69</v>
      </c>
      <c r="P311" s="87"/>
      <c r="Q311" s="87">
        <v>2025.0</v>
      </c>
      <c r="R311" s="93" t="s">
        <v>302</v>
      </c>
      <c r="S311" s="87"/>
      <c r="T311" s="87"/>
      <c r="U311" s="129" t="s">
        <v>1184</v>
      </c>
      <c r="V311" s="94" t="s">
        <v>62</v>
      </c>
      <c r="W311" s="97" t="str">
        <f t="array" ref="W311">IFERROR(INDEX(DFD!$E$2:$E$1048791,MATCH($Q311,DFD!$B$2:$B$1048791,0)),"")</f>
        <v/>
      </c>
      <c r="X311" s="97" t="str">
        <f t="array" ref="X311">IFERROR(INDEX(DFD!$K$2:$K$1048791,MATCH($Q311,DFD!$B$2:$B$1048791,0)),"")</f>
        <v/>
      </c>
      <c r="Y311" s="97" t="str">
        <f t="array" ref="Y311">IFERROR(INDEX(DFD!$L$2:$L$1048790,MATCH($Q311,DFD!$B$2:$B$1048790,0)),"")</f>
        <v/>
      </c>
      <c r="Z311" s="97">
        <f t="shared" si="11"/>
        <v>45</v>
      </c>
      <c r="AA311" s="87"/>
      <c r="AB311" s="87" t="s">
        <v>78</v>
      </c>
      <c r="AC311" s="87"/>
      <c r="AD311" s="99">
        <v>46043.0</v>
      </c>
      <c r="AE311" s="100">
        <f t="shared" si="8"/>
        <v>1</v>
      </c>
    </row>
    <row r="312" ht="15.75" customHeight="1">
      <c r="A312" s="67" t="s">
        <v>1186</v>
      </c>
      <c r="B312" s="59" t="s">
        <v>172</v>
      </c>
      <c r="C312" s="60" t="s">
        <v>1188</v>
      </c>
      <c r="D312" s="60" t="s">
        <v>51</v>
      </c>
      <c r="E312" s="60">
        <v>1.0</v>
      </c>
      <c r="F312" s="72">
        <v>1500.0</v>
      </c>
      <c r="G312" s="73" t="s">
        <v>53</v>
      </c>
      <c r="H312" s="74">
        <v>46174.0</v>
      </c>
      <c r="I312" s="67" t="s">
        <v>18</v>
      </c>
      <c r="J312" s="67" t="s">
        <v>54</v>
      </c>
      <c r="K312" s="67" t="s">
        <v>83</v>
      </c>
      <c r="L312" s="67" t="s">
        <v>67</v>
      </c>
      <c r="M312" s="73" t="s">
        <v>112</v>
      </c>
      <c r="N312" s="67" t="s">
        <v>20</v>
      </c>
      <c r="O312" s="67" t="s">
        <v>89</v>
      </c>
      <c r="P312" s="59"/>
      <c r="Q312" s="59" t="s">
        <v>385</v>
      </c>
      <c r="R312" s="76" t="s">
        <v>302</v>
      </c>
      <c r="S312" s="59"/>
      <c r="T312" s="59"/>
      <c r="U312" s="77" t="str">
        <f t="array" ref="U312">IFERROR(INDEX(DFD!$D$2:$D$1048791,MATCH($Q312,DFD!$B$2:$B$1048791,0)),"")</f>
        <v/>
      </c>
      <c r="V312" s="77" t="s">
        <v>280</v>
      </c>
      <c r="W312" s="84" t="str">
        <f t="array" ref="W312">IFERROR(INDEX(DFD!$E$2:$E$1048791,MATCH($Q312,DFD!$B$2:$B$1048791,0)),"")</f>
        <v/>
      </c>
      <c r="X312" s="84" t="str">
        <f t="array" ref="X312">IFERROR(INDEX(DFD!$K$2:$K$1048791,MATCH($Q312,DFD!$B$2:$B$1048791,0)),"")</f>
        <v/>
      </c>
      <c r="Y312" s="84" t="str">
        <f t="array" ref="Y312">IFERROR(INDEX(DFD!$L$2:$L$1048790,MATCH($Q312,DFD!$B$2:$B$1048790,0)),"")</f>
        <v/>
      </c>
      <c r="Z312" s="84">
        <f t="shared" si="11"/>
        <v>45</v>
      </c>
      <c r="AA312" s="59"/>
      <c r="AB312" s="59" t="s">
        <v>78</v>
      </c>
      <c r="AC312" s="59"/>
      <c r="AD312" s="85">
        <v>46043.0</v>
      </c>
      <c r="AE312" s="86">
        <f t="shared" si="8"/>
        <v>1</v>
      </c>
    </row>
    <row r="313" ht="15.75" customHeight="1">
      <c r="A313" s="92" t="s">
        <v>1192</v>
      </c>
      <c r="B313" s="87" t="s">
        <v>94</v>
      </c>
      <c r="C313" s="88" t="s">
        <v>1193</v>
      </c>
      <c r="D313" s="88" t="s">
        <v>51</v>
      </c>
      <c r="E313" s="88">
        <v>10.0</v>
      </c>
      <c r="F313" s="89">
        <v>21625.25</v>
      </c>
      <c r="G313" s="90" t="s">
        <v>53</v>
      </c>
      <c r="H313" s="91">
        <v>46266.0</v>
      </c>
      <c r="I313" s="92" t="s">
        <v>17</v>
      </c>
      <c r="J313" s="92" t="s">
        <v>54</v>
      </c>
      <c r="K313" s="92" t="s">
        <v>55</v>
      </c>
      <c r="L313" s="92" t="s">
        <v>56</v>
      </c>
      <c r="M313" s="90" t="s">
        <v>1195</v>
      </c>
      <c r="N313" s="92" t="s">
        <v>20</v>
      </c>
      <c r="O313" s="87" t="s">
        <v>69</v>
      </c>
      <c r="P313" s="87"/>
      <c r="Q313" s="87">
        <v>2025.0</v>
      </c>
      <c r="R313" s="93" t="s">
        <v>114</v>
      </c>
      <c r="S313" s="87"/>
      <c r="T313" s="87"/>
      <c r="U313" s="129" t="s">
        <v>1197</v>
      </c>
      <c r="V313" s="87" t="s">
        <v>94</v>
      </c>
      <c r="W313" s="97" t="str">
        <f t="array" ref="W313">IFERROR(INDEX(DFD!$E$2:$E$1048791,MATCH($Q313,DFD!$B$2:$B$1048791,0)),"")</f>
        <v/>
      </c>
      <c r="X313" s="97" t="str">
        <f t="array" ref="X313">IFERROR(INDEX(DFD!$K$2:$K$1048791,MATCH($Q313,DFD!$B$2:$B$1048791,0)),"")</f>
        <v/>
      </c>
      <c r="Y313" s="97" t="str">
        <f t="array" ref="Y313">IFERROR(INDEX(DFD!$L$2:$L$1048790,MATCH($Q313,DFD!$B$2:$B$1048790,0)),"")</f>
        <v/>
      </c>
      <c r="Z313" s="97">
        <f t="shared" si="11"/>
        <v>45</v>
      </c>
      <c r="AA313" s="87"/>
      <c r="AB313" s="87" t="s">
        <v>78</v>
      </c>
      <c r="AC313" s="87"/>
      <c r="AD313" s="99">
        <v>46043.0</v>
      </c>
      <c r="AE313" s="100">
        <f t="shared" si="8"/>
        <v>1</v>
      </c>
    </row>
    <row r="314" ht="15.75" customHeight="1">
      <c r="A314" s="59" t="s">
        <v>1202</v>
      </c>
      <c r="B314" s="59" t="s">
        <v>148</v>
      </c>
      <c r="C314" s="60" t="s">
        <v>1204</v>
      </c>
      <c r="D314" s="60" t="s">
        <v>51</v>
      </c>
      <c r="E314" s="60">
        <v>2.0</v>
      </c>
      <c r="F314" s="72">
        <v>30.0</v>
      </c>
      <c r="G314" s="73" t="s">
        <v>53</v>
      </c>
      <c r="H314" s="74">
        <v>46143.0</v>
      </c>
      <c r="I314" s="67" t="s">
        <v>17</v>
      </c>
      <c r="J314" s="67" t="s">
        <v>54</v>
      </c>
      <c r="K314" s="67" t="s">
        <v>66</v>
      </c>
      <c r="L314" s="67" t="s">
        <v>67</v>
      </c>
      <c r="M314" s="73" t="s">
        <v>68</v>
      </c>
      <c r="N314" s="67" t="s">
        <v>5</v>
      </c>
      <c r="O314" s="59" t="s">
        <v>69</v>
      </c>
      <c r="P314" s="59"/>
      <c r="Q314" s="59" t="s">
        <v>576</v>
      </c>
      <c r="R314" s="76" t="s">
        <v>577</v>
      </c>
      <c r="S314" s="59"/>
      <c r="T314" s="59"/>
      <c r="U314" s="77" t="str">
        <f t="array" ref="U314">IFERROR(INDEX(DFD!$D$2:$D$1048791,MATCH($Q314,DFD!$B$2:$B$1048791,0)),"")</f>
        <v/>
      </c>
      <c r="V314" s="77" t="s">
        <v>280</v>
      </c>
      <c r="W314" s="84" t="str">
        <f t="array" ref="W314">IFERROR(INDEX(DFD!$E$2:$E$1048791,MATCH($Q314,DFD!$B$2:$B$1048791,0)),"")</f>
        <v/>
      </c>
      <c r="X314" s="84" t="str">
        <f t="array" ref="X314">IFERROR(INDEX(DFD!$K$2:$K$1048791,MATCH($Q314,DFD!$B$2:$B$1048791,0)),"")</f>
        <v/>
      </c>
      <c r="Y314" s="84" t="str">
        <f t="array" ref="Y314">IFERROR(INDEX(DFD!$L$2:$L$1048790,MATCH($Q314,DFD!$B$2:$B$1048790,0)),"")</f>
        <v/>
      </c>
      <c r="Z314" s="84">
        <f t="shared" si="11"/>
        <v>45</v>
      </c>
      <c r="AA314" s="59"/>
      <c r="AB314" s="59" t="s">
        <v>78</v>
      </c>
      <c r="AC314" s="59"/>
      <c r="AD314" s="85">
        <v>46043.0</v>
      </c>
      <c r="AE314" s="86">
        <f t="shared" si="8"/>
        <v>1</v>
      </c>
    </row>
    <row r="315" ht="15.75" customHeight="1">
      <c r="A315" s="87" t="s">
        <v>1208</v>
      </c>
      <c r="B315" s="71" t="s">
        <v>107</v>
      </c>
      <c r="C315" s="88" t="s">
        <v>1209</v>
      </c>
      <c r="D315" s="88" t="s">
        <v>51</v>
      </c>
      <c r="E315" s="88">
        <v>15.0</v>
      </c>
      <c r="F315" s="89">
        <v>1665.0</v>
      </c>
      <c r="G315" s="90" t="s">
        <v>53</v>
      </c>
      <c r="H315" s="91">
        <v>46174.0</v>
      </c>
      <c r="I315" s="92" t="s">
        <v>17</v>
      </c>
      <c r="J315" s="92" t="s">
        <v>54</v>
      </c>
      <c r="K315" s="92" t="s">
        <v>66</v>
      </c>
      <c r="L315" s="92" t="s">
        <v>67</v>
      </c>
      <c r="M315" s="90" t="s">
        <v>68</v>
      </c>
      <c r="N315" s="92" t="s">
        <v>5</v>
      </c>
      <c r="O315" s="92" t="s">
        <v>89</v>
      </c>
      <c r="P315" s="87"/>
      <c r="Q315" s="87" t="s">
        <v>1210</v>
      </c>
      <c r="R315" s="93" t="s">
        <v>71</v>
      </c>
      <c r="S315" s="87"/>
      <c r="T315" s="87"/>
      <c r="U315" s="94" t="str">
        <f t="array" ref="U315">IFERROR(INDEX(DFD!$D$2:$D$1048791,MATCH($Q315,DFD!$B$2:$B$1048791,0)),"")</f>
        <v/>
      </c>
      <c r="V315" s="94" t="str">
        <f t="array" ref="V315">IFERROR(INDEX(DFD!$F$2:$F$1048791,MATCH($Q315,DFD!$B$2:$B$1048791,0)),"")</f>
        <v/>
      </c>
      <c r="W315" s="97" t="str">
        <f t="array" ref="W315">IFERROR(INDEX(DFD!$E$2:$E$1048791,MATCH($Q315,DFD!$B$2:$B$1048791,0)),"")</f>
        <v/>
      </c>
      <c r="X315" s="97" t="str">
        <f t="array" ref="X315">IFERROR(INDEX(DFD!$K$2:$K$1048791,MATCH($Q315,DFD!$B$2:$B$1048791,0)),"")</f>
        <v/>
      </c>
      <c r="Y315" s="97" t="str">
        <f t="array" ref="Y315">IFERROR(INDEX(DFD!$L$2:$L$1048790,MATCH($Q315,DFD!$B$2:$B$1048790,0)),"")</f>
        <v/>
      </c>
      <c r="Z315" s="97">
        <f t="shared" si="11"/>
        <v>45</v>
      </c>
      <c r="AA315" s="87"/>
      <c r="AB315" s="87" t="s">
        <v>78</v>
      </c>
      <c r="AC315" s="87"/>
      <c r="AD315" s="99">
        <v>46043.0</v>
      </c>
      <c r="AE315" s="100">
        <f t="shared" si="8"/>
        <v>1</v>
      </c>
    </row>
    <row r="316" ht="15.75" customHeight="1">
      <c r="A316" s="59" t="s">
        <v>1212</v>
      </c>
      <c r="B316" s="59" t="s">
        <v>95</v>
      </c>
      <c r="C316" s="60" t="s">
        <v>1209</v>
      </c>
      <c r="D316" s="60" t="s">
        <v>51</v>
      </c>
      <c r="E316" s="60">
        <v>10.0</v>
      </c>
      <c r="F316" s="72">
        <v>1110.0</v>
      </c>
      <c r="G316" s="73" t="s">
        <v>53</v>
      </c>
      <c r="H316" s="74">
        <v>46174.0</v>
      </c>
      <c r="I316" s="67" t="s">
        <v>17</v>
      </c>
      <c r="J316" s="67" t="s">
        <v>54</v>
      </c>
      <c r="K316" s="67" t="s">
        <v>66</v>
      </c>
      <c r="L316" s="67" t="s">
        <v>67</v>
      </c>
      <c r="M316" s="73" t="s">
        <v>68</v>
      </c>
      <c r="N316" s="67" t="s">
        <v>5</v>
      </c>
      <c r="O316" s="59" t="s">
        <v>69</v>
      </c>
      <c r="P316" s="59"/>
      <c r="Q316" s="59" t="s">
        <v>1210</v>
      </c>
      <c r="R316" s="76" t="s">
        <v>71</v>
      </c>
      <c r="S316" s="59"/>
      <c r="T316" s="59"/>
      <c r="U316" s="77" t="str">
        <f t="array" ref="U316">IFERROR(INDEX(DFD!$D$2:$D$1048791,MATCH($Q316,DFD!$B$2:$B$1048791,0)),"")</f>
        <v/>
      </c>
      <c r="V316" s="77" t="str">
        <f t="array" ref="V316">IFERROR(INDEX(DFD!$F$2:$F$1048791,MATCH($Q316,DFD!$B$2:$B$1048791,0)),"")</f>
        <v/>
      </c>
      <c r="W316" s="84" t="str">
        <f t="array" ref="W316">IFERROR(INDEX(DFD!$E$2:$E$1048791,MATCH($Q316,DFD!$B$2:$B$1048791,0)),"")</f>
        <v/>
      </c>
      <c r="X316" s="84" t="str">
        <f t="array" ref="X316">IFERROR(INDEX(DFD!$K$2:$K$1048791,MATCH($Q316,DFD!$B$2:$B$1048791,0)),"")</f>
        <v/>
      </c>
      <c r="Y316" s="84" t="str">
        <f t="array" ref="Y316">IFERROR(INDEX(DFD!$L$2:$L$1048790,MATCH($Q316,DFD!$B$2:$B$1048790,0)),"")</f>
        <v/>
      </c>
      <c r="Z316" s="84">
        <f t="shared" si="11"/>
        <v>45</v>
      </c>
      <c r="AA316" s="59"/>
      <c r="AB316" s="59" t="s">
        <v>78</v>
      </c>
      <c r="AC316" s="59"/>
      <c r="AD316" s="85">
        <v>46043.0</v>
      </c>
      <c r="AE316" s="86">
        <f t="shared" si="8"/>
        <v>1</v>
      </c>
    </row>
    <row r="317" ht="15.75" customHeight="1">
      <c r="A317" s="87" t="s">
        <v>1213</v>
      </c>
      <c r="B317" s="87" t="s">
        <v>101</v>
      </c>
      <c r="C317" s="88" t="s">
        <v>1209</v>
      </c>
      <c r="D317" s="88" t="s">
        <v>51</v>
      </c>
      <c r="E317" s="88">
        <v>8.0</v>
      </c>
      <c r="F317" s="89">
        <v>888.0</v>
      </c>
      <c r="G317" s="90" t="s">
        <v>53</v>
      </c>
      <c r="H317" s="91">
        <v>46174.0</v>
      </c>
      <c r="I317" s="92" t="s">
        <v>17</v>
      </c>
      <c r="J317" s="92" t="s">
        <v>54</v>
      </c>
      <c r="K317" s="92" t="s">
        <v>66</v>
      </c>
      <c r="L317" s="92" t="s">
        <v>56</v>
      </c>
      <c r="M317" s="90" t="s">
        <v>132</v>
      </c>
      <c r="N317" s="92" t="s">
        <v>58</v>
      </c>
      <c r="O317" s="87" t="s">
        <v>69</v>
      </c>
      <c r="P317" s="87"/>
      <c r="Q317" s="87" t="s">
        <v>1210</v>
      </c>
      <c r="R317" s="93" t="s">
        <v>71</v>
      </c>
      <c r="S317" s="87"/>
      <c r="T317" s="87"/>
      <c r="U317" s="94" t="str">
        <f t="array" ref="U317">IFERROR(INDEX(DFD!$D$2:$D$1048791,MATCH($Q317,DFD!$B$2:$B$1048791,0)),"")</f>
        <v/>
      </c>
      <c r="V317" s="94" t="str">
        <f t="array" ref="V317">IFERROR(INDEX(DFD!$F$2:$F$1048791,MATCH($Q317,DFD!$B$2:$B$1048791,0)),"")</f>
        <v/>
      </c>
      <c r="W317" s="97" t="str">
        <f t="array" ref="W317">IFERROR(INDEX(DFD!$E$2:$E$1048791,MATCH($Q317,DFD!$B$2:$B$1048791,0)),"")</f>
        <v/>
      </c>
      <c r="X317" s="97" t="str">
        <f t="array" ref="X317">IFERROR(INDEX(DFD!$K$2:$K$1048791,MATCH($Q317,DFD!$B$2:$B$1048791,0)),"")</f>
        <v/>
      </c>
      <c r="Y317" s="97" t="str">
        <f t="array" ref="Y317">IFERROR(INDEX(DFD!$L$2:$L$1048790,MATCH($Q317,DFD!$B$2:$B$1048790,0)),"")</f>
        <v/>
      </c>
      <c r="Z317" s="97">
        <f t="shared" si="11"/>
        <v>45</v>
      </c>
      <c r="AA317" s="87"/>
      <c r="AB317" s="87" t="s">
        <v>78</v>
      </c>
      <c r="AC317" s="87"/>
      <c r="AD317" s="99">
        <v>46043.0</v>
      </c>
      <c r="AE317" s="100">
        <f t="shared" si="8"/>
        <v>1</v>
      </c>
    </row>
    <row r="318" ht="15.75" customHeight="1">
      <c r="A318" s="59" t="s">
        <v>1215</v>
      </c>
      <c r="B318" s="59" t="s">
        <v>91</v>
      </c>
      <c r="C318" s="60" t="s">
        <v>1216</v>
      </c>
      <c r="D318" s="60" t="s">
        <v>51</v>
      </c>
      <c r="E318" s="60">
        <v>15.0</v>
      </c>
      <c r="F318" s="72">
        <v>1650.0</v>
      </c>
      <c r="G318" s="73" t="s">
        <v>53</v>
      </c>
      <c r="H318" s="74">
        <v>46174.0</v>
      </c>
      <c r="I318" s="67" t="s">
        <v>17</v>
      </c>
      <c r="J318" s="67" t="s">
        <v>54</v>
      </c>
      <c r="K318" s="67" t="s">
        <v>66</v>
      </c>
      <c r="L318" s="67" t="s">
        <v>67</v>
      </c>
      <c r="M318" s="73" t="s">
        <v>117</v>
      </c>
      <c r="N318" s="67" t="s">
        <v>5</v>
      </c>
      <c r="O318" s="67" t="s">
        <v>89</v>
      </c>
      <c r="P318" s="59"/>
      <c r="Q318" s="59" t="s">
        <v>143</v>
      </c>
      <c r="R318" s="76" t="s">
        <v>71</v>
      </c>
      <c r="S318" s="59"/>
      <c r="T318" s="59"/>
      <c r="U318" s="77" t="str">
        <f t="array" ref="U318">IFERROR(INDEX(DFD!$D$2:$D$1048791,MATCH($Q318,DFD!$B$2:$B$1048791,0)),"")</f>
        <v/>
      </c>
      <c r="V318" s="77" t="str">
        <f t="array" ref="V318">IFERROR(INDEX(DFD!$F$2:$F$1048791,MATCH($Q318,DFD!$B$2:$B$1048791,0)),"")</f>
        <v/>
      </c>
      <c r="W318" s="84" t="str">
        <f t="array" ref="W318">IFERROR(INDEX(DFD!$E$2:$E$1048791,MATCH($Q318,DFD!$B$2:$B$1048791,0)),"")</f>
        <v/>
      </c>
      <c r="X318" s="84" t="str">
        <f t="array" ref="X318">IFERROR(INDEX(DFD!$K$2:$K$1048791,MATCH($Q318,DFD!$B$2:$B$1048791,0)),"")</f>
        <v/>
      </c>
      <c r="Y318" s="84" t="str">
        <f t="array" ref="Y318">IFERROR(INDEX(DFD!$L$2:$L$1048790,MATCH($Q318,DFD!$B$2:$B$1048790,0)),"")</f>
        <v/>
      </c>
      <c r="Z318" s="84">
        <f t="shared" si="11"/>
        <v>45</v>
      </c>
      <c r="AA318" s="59"/>
      <c r="AB318" s="59" t="s">
        <v>78</v>
      </c>
      <c r="AC318" s="59"/>
      <c r="AD318" s="85">
        <v>46043.0</v>
      </c>
      <c r="AE318" s="86">
        <f t="shared" si="8"/>
        <v>1</v>
      </c>
    </row>
    <row r="319" ht="15.75" customHeight="1">
      <c r="A319" s="87" t="s">
        <v>1218</v>
      </c>
      <c r="B319" s="87" t="s">
        <v>80</v>
      </c>
      <c r="C319" s="88" t="s">
        <v>1216</v>
      </c>
      <c r="D319" s="88" t="s">
        <v>51</v>
      </c>
      <c r="E319" s="88">
        <v>4.0</v>
      </c>
      <c r="F319" s="89">
        <v>440.0</v>
      </c>
      <c r="G319" s="90" t="s">
        <v>53</v>
      </c>
      <c r="H319" s="91">
        <v>46174.0</v>
      </c>
      <c r="I319" s="92" t="s">
        <v>17</v>
      </c>
      <c r="J319" s="92" t="s">
        <v>54</v>
      </c>
      <c r="K319" s="92" t="s">
        <v>66</v>
      </c>
      <c r="L319" s="92" t="s">
        <v>67</v>
      </c>
      <c r="M319" s="90" t="s">
        <v>117</v>
      </c>
      <c r="N319" s="92" t="s">
        <v>5</v>
      </c>
      <c r="O319" s="87" t="s">
        <v>69</v>
      </c>
      <c r="P319" s="87"/>
      <c r="Q319" s="87" t="s">
        <v>143</v>
      </c>
      <c r="R319" s="93" t="s">
        <v>71</v>
      </c>
      <c r="S319" s="87"/>
      <c r="T319" s="87"/>
      <c r="U319" s="94" t="str">
        <f t="array" ref="U319">IFERROR(INDEX(DFD!$D$2:$D$1048791,MATCH($Q319,DFD!$B$2:$B$1048791,0)),"")</f>
        <v/>
      </c>
      <c r="V319" s="94" t="str">
        <f t="array" ref="V319">IFERROR(INDEX(DFD!$F$2:$F$1048791,MATCH($Q319,DFD!$B$2:$B$1048791,0)),"")</f>
        <v/>
      </c>
      <c r="W319" s="97" t="str">
        <f t="array" ref="W319">IFERROR(INDEX(DFD!$E$2:$E$1048791,MATCH($Q319,DFD!$B$2:$B$1048791,0)),"")</f>
        <v/>
      </c>
      <c r="X319" s="97" t="str">
        <f t="array" ref="X319">IFERROR(INDEX(DFD!$K$2:$K$1048791,MATCH($Q319,DFD!$B$2:$B$1048791,0)),"")</f>
        <v/>
      </c>
      <c r="Y319" s="97" t="str">
        <f t="array" ref="Y319">IFERROR(INDEX(DFD!$L$2:$L$1048790,MATCH($Q319,DFD!$B$2:$B$1048790,0)),"")</f>
        <v/>
      </c>
      <c r="Z319" s="97">
        <f t="shared" si="11"/>
        <v>45</v>
      </c>
      <c r="AA319" s="87"/>
      <c r="AB319" s="87" t="s">
        <v>78</v>
      </c>
      <c r="AC319" s="87"/>
      <c r="AD319" s="99">
        <v>46043.0</v>
      </c>
      <c r="AE319" s="100">
        <f t="shared" si="8"/>
        <v>1</v>
      </c>
    </row>
    <row r="320" ht="15.75" customHeight="1">
      <c r="A320" s="59" t="s">
        <v>1220</v>
      </c>
      <c r="B320" s="59" t="s">
        <v>98</v>
      </c>
      <c r="C320" s="60" t="s">
        <v>1216</v>
      </c>
      <c r="D320" s="60" t="s">
        <v>51</v>
      </c>
      <c r="E320" s="60">
        <v>4.0</v>
      </c>
      <c r="F320" s="72">
        <v>440.0</v>
      </c>
      <c r="G320" s="73" t="s">
        <v>53</v>
      </c>
      <c r="H320" s="74">
        <v>46174.0</v>
      </c>
      <c r="I320" s="67" t="s">
        <v>17</v>
      </c>
      <c r="J320" s="67" t="s">
        <v>54</v>
      </c>
      <c r="K320" s="67" t="s">
        <v>66</v>
      </c>
      <c r="L320" s="67" t="s">
        <v>67</v>
      </c>
      <c r="M320" s="73" t="s">
        <v>117</v>
      </c>
      <c r="N320" s="67" t="s">
        <v>5</v>
      </c>
      <c r="O320" s="59" t="s">
        <v>69</v>
      </c>
      <c r="P320" s="59"/>
      <c r="Q320" s="59" t="s">
        <v>143</v>
      </c>
      <c r="R320" s="76" t="s">
        <v>71</v>
      </c>
      <c r="S320" s="59"/>
      <c r="T320" s="59"/>
      <c r="U320" s="77" t="str">
        <f t="array" ref="U320">IFERROR(INDEX(DFD!$D$2:$D$1048791,MATCH($Q320,DFD!$B$2:$B$1048791,0)),"")</f>
        <v/>
      </c>
      <c r="V320" s="77" t="str">
        <f t="array" ref="V320">IFERROR(INDEX(DFD!$F$2:$F$1048791,MATCH($Q320,DFD!$B$2:$B$1048791,0)),"")</f>
        <v/>
      </c>
      <c r="W320" s="84" t="str">
        <f t="array" ref="W320">IFERROR(INDEX(DFD!$E$2:$E$1048791,MATCH($Q320,DFD!$B$2:$B$1048791,0)),"")</f>
        <v/>
      </c>
      <c r="X320" s="84" t="str">
        <f t="array" ref="X320">IFERROR(INDEX(DFD!$K$2:$K$1048791,MATCH($Q320,DFD!$B$2:$B$1048791,0)),"")</f>
        <v/>
      </c>
      <c r="Y320" s="84" t="str">
        <f t="array" ref="Y320">IFERROR(INDEX(DFD!$L$2:$L$1048790,MATCH($Q320,DFD!$B$2:$B$1048790,0)),"")</f>
        <v/>
      </c>
      <c r="Z320" s="84">
        <f t="shared" si="11"/>
        <v>45</v>
      </c>
      <c r="AA320" s="59"/>
      <c r="AB320" s="59" t="s">
        <v>78</v>
      </c>
      <c r="AC320" s="59"/>
      <c r="AD320" s="85">
        <v>46043.0</v>
      </c>
      <c r="AE320" s="86">
        <f t="shared" si="8"/>
        <v>1</v>
      </c>
    </row>
    <row r="321" ht="15.75" customHeight="1">
      <c r="A321" s="87" t="s">
        <v>1222</v>
      </c>
      <c r="B321" s="87" t="s">
        <v>98</v>
      </c>
      <c r="C321" s="88" t="s">
        <v>1223</v>
      </c>
      <c r="D321" s="88" t="s">
        <v>51</v>
      </c>
      <c r="E321" s="88">
        <v>4.0</v>
      </c>
      <c r="F321" s="89">
        <v>440.0</v>
      </c>
      <c r="G321" s="90" t="s">
        <v>53</v>
      </c>
      <c r="H321" s="91">
        <v>46174.0</v>
      </c>
      <c r="I321" s="92" t="s">
        <v>17</v>
      </c>
      <c r="J321" s="92" t="s">
        <v>54</v>
      </c>
      <c r="K321" s="92" t="s">
        <v>66</v>
      </c>
      <c r="L321" s="92" t="s">
        <v>67</v>
      </c>
      <c r="M321" s="90" t="s">
        <v>117</v>
      </c>
      <c r="N321" s="92" t="s">
        <v>5</v>
      </c>
      <c r="O321" s="92" t="s">
        <v>89</v>
      </c>
      <c r="P321" s="87"/>
      <c r="Q321" s="87" t="s">
        <v>143</v>
      </c>
      <c r="R321" s="93" t="s">
        <v>71</v>
      </c>
      <c r="S321" s="87"/>
      <c r="T321" s="87"/>
      <c r="U321" s="94" t="str">
        <f t="array" ref="U321">IFERROR(INDEX(DFD!$D$2:$D$1048791,MATCH($Q321,DFD!$B$2:$B$1048791,0)),"")</f>
        <v/>
      </c>
      <c r="V321" s="94" t="str">
        <f t="array" ref="V321">IFERROR(INDEX(DFD!$F$2:$F$1048791,MATCH($Q321,DFD!$B$2:$B$1048791,0)),"")</f>
        <v/>
      </c>
      <c r="W321" s="97" t="str">
        <f t="array" ref="W321">IFERROR(INDEX(DFD!$E$2:$E$1048791,MATCH($Q321,DFD!$B$2:$B$1048791,0)),"")</f>
        <v/>
      </c>
      <c r="X321" s="97" t="str">
        <f t="array" ref="X321">IFERROR(INDEX(DFD!$K$2:$K$1048791,MATCH($Q321,DFD!$B$2:$B$1048791,0)),"")</f>
        <v/>
      </c>
      <c r="Y321" s="97" t="str">
        <f t="array" ref="Y321">IFERROR(INDEX(DFD!$L$2:$L$1048790,MATCH($Q321,DFD!$B$2:$B$1048790,0)),"")</f>
        <v/>
      </c>
      <c r="Z321" s="97">
        <f t="shared" si="11"/>
        <v>45</v>
      </c>
      <c r="AA321" s="87"/>
      <c r="AB321" s="87" t="s">
        <v>78</v>
      </c>
      <c r="AC321" s="87"/>
      <c r="AD321" s="99">
        <v>46043.0</v>
      </c>
      <c r="AE321" s="100">
        <f t="shared" si="8"/>
        <v>1</v>
      </c>
    </row>
    <row r="322" ht="15.75" customHeight="1">
      <c r="A322" s="59" t="s">
        <v>1225</v>
      </c>
      <c r="B322" s="59" t="s">
        <v>94</v>
      </c>
      <c r="C322" s="60" t="s">
        <v>1226</v>
      </c>
      <c r="D322" s="60" t="s">
        <v>51</v>
      </c>
      <c r="E322" s="60">
        <v>10.0</v>
      </c>
      <c r="F322" s="72">
        <v>299.0</v>
      </c>
      <c r="G322" s="73" t="s">
        <v>53</v>
      </c>
      <c r="H322" s="74">
        <v>46174.0</v>
      </c>
      <c r="I322" s="67" t="s">
        <v>17</v>
      </c>
      <c r="J322" s="67" t="s">
        <v>54</v>
      </c>
      <c r="K322" s="67" t="s">
        <v>66</v>
      </c>
      <c r="L322" s="67" t="s">
        <v>67</v>
      </c>
      <c r="M322" s="73" t="s">
        <v>117</v>
      </c>
      <c r="N322" s="67" t="s">
        <v>5</v>
      </c>
      <c r="O322" s="59" t="s">
        <v>69</v>
      </c>
      <c r="P322" s="59"/>
      <c r="Q322" s="59" t="s">
        <v>118</v>
      </c>
      <c r="R322" s="76" t="s">
        <v>71</v>
      </c>
      <c r="S322" s="59"/>
      <c r="T322" s="59"/>
      <c r="U322" s="77" t="str">
        <f t="array" ref="U322">IFERROR(INDEX(DFD!$D$2:$D$1048791,MATCH($Q322,DFD!$B$2:$B$1048791,0)),"")</f>
        <v/>
      </c>
      <c r="V322" s="77" t="str">
        <f t="array" ref="V322">IFERROR(INDEX(DFD!$F$2:$F$1048791,MATCH($Q322,DFD!$B$2:$B$1048791,0)),"")</f>
        <v/>
      </c>
      <c r="W322" s="84" t="str">
        <f t="array" ref="W322">IFERROR(INDEX(DFD!$E$2:$E$1048791,MATCH($Q322,DFD!$B$2:$B$1048791,0)),"")</f>
        <v/>
      </c>
      <c r="X322" s="84" t="str">
        <f t="array" ref="X322">IFERROR(INDEX(DFD!$K$2:$K$1048791,MATCH($Q322,DFD!$B$2:$B$1048791,0)),"")</f>
        <v/>
      </c>
      <c r="Y322" s="84" t="str">
        <f t="array" ref="Y322">IFERROR(INDEX(DFD!$L$2:$L$1048790,MATCH($Q322,DFD!$B$2:$B$1048790,0)),"")</f>
        <v/>
      </c>
      <c r="Z322" s="84">
        <f t="shared" si="11"/>
        <v>45</v>
      </c>
      <c r="AA322" s="59"/>
      <c r="AB322" s="59" t="s">
        <v>78</v>
      </c>
      <c r="AC322" s="59"/>
      <c r="AD322" s="85">
        <v>46043.0</v>
      </c>
      <c r="AE322" s="86">
        <f t="shared" si="8"/>
        <v>1</v>
      </c>
    </row>
    <row r="323" ht="15.75" customHeight="1">
      <c r="A323" s="92" t="s">
        <v>1227</v>
      </c>
      <c r="B323" s="87" t="s">
        <v>174</v>
      </c>
      <c r="C323" s="88" t="s">
        <v>1228</v>
      </c>
      <c r="D323" s="88" t="s">
        <v>51</v>
      </c>
      <c r="E323" s="88">
        <v>1.0</v>
      </c>
      <c r="F323" s="89">
        <v>250.0</v>
      </c>
      <c r="G323" s="90" t="s">
        <v>53</v>
      </c>
      <c r="H323" s="91">
        <v>46143.0</v>
      </c>
      <c r="I323" s="92" t="s">
        <v>17</v>
      </c>
      <c r="J323" s="92" t="s">
        <v>54</v>
      </c>
      <c r="K323" s="92" t="s">
        <v>66</v>
      </c>
      <c r="L323" s="92" t="s">
        <v>56</v>
      </c>
      <c r="M323" s="90" t="s">
        <v>132</v>
      </c>
      <c r="N323" s="92" t="s">
        <v>20</v>
      </c>
      <c r="O323" s="87" t="s">
        <v>69</v>
      </c>
      <c r="P323" s="87"/>
      <c r="Q323" s="87" t="s">
        <v>118</v>
      </c>
      <c r="R323" s="93" t="s">
        <v>181</v>
      </c>
      <c r="S323" s="87"/>
      <c r="T323" s="87"/>
      <c r="U323" s="94" t="str">
        <f t="array" ref="U323">IFERROR(INDEX(DFD!$D$2:$D$1048791,MATCH($Q323,DFD!$B$2:$B$1048791,0)),"")</f>
        <v/>
      </c>
      <c r="V323" s="94" t="str">
        <f t="array" ref="V323">IFERROR(INDEX(DFD!$F$2:$F$1048791,MATCH($Q323,DFD!$B$2:$B$1048791,0)),"")</f>
        <v/>
      </c>
      <c r="W323" s="97" t="str">
        <f t="array" ref="W323">IFERROR(INDEX(DFD!$E$2:$E$1048791,MATCH($Q323,DFD!$B$2:$B$1048791,0)),"")</f>
        <v/>
      </c>
      <c r="X323" s="97" t="str">
        <f t="array" ref="X323">IFERROR(INDEX(DFD!$K$2:$K$1048791,MATCH($Q323,DFD!$B$2:$B$1048791,0)),"")</f>
        <v/>
      </c>
      <c r="Y323" s="97" t="str">
        <f t="array" ref="Y323">IFERROR(INDEX(DFD!$L$2:$L$1048790,MATCH($Q323,DFD!$B$2:$B$1048790,0)),"")</f>
        <v/>
      </c>
      <c r="Z323" s="97">
        <f t="shared" si="11"/>
        <v>45</v>
      </c>
      <c r="AA323" s="87"/>
      <c r="AB323" s="87" t="s">
        <v>78</v>
      </c>
      <c r="AC323" s="87"/>
      <c r="AD323" s="99">
        <v>46043.0</v>
      </c>
      <c r="AE323" s="100">
        <f t="shared" si="8"/>
        <v>1</v>
      </c>
    </row>
    <row r="324" ht="15.75" customHeight="1">
      <c r="A324" s="67" t="s">
        <v>1229</v>
      </c>
      <c r="B324" s="59" t="s">
        <v>172</v>
      </c>
      <c r="C324" s="60" t="s">
        <v>1230</v>
      </c>
      <c r="D324" s="60" t="s">
        <v>51</v>
      </c>
      <c r="E324" s="60">
        <v>1.0</v>
      </c>
      <c r="F324" s="72">
        <v>200.0</v>
      </c>
      <c r="G324" s="73" t="s">
        <v>53</v>
      </c>
      <c r="H324" s="74">
        <v>46143.0</v>
      </c>
      <c r="I324" s="67" t="s">
        <v>17</v>
      </c>
      <c r="J324" s="67" t="s">
        <v>54</v>
      </c>
      <c r="K324" s="67" t="s">
        <v>66</v>
      </c>
      <c r="L324" s="67" t="s">
        <v>56</v>
      </c>
      <c r="M324" s="73" t="s">
        <v>57</v>
      </c>
      <c r="N324" s="67" t="s">
        <v>20</v>
      </c>
      <c r="O324" s="67" t="s">
        <v>89</v>
      </c>
      <c r="P324" s="59"/>
      <c r="Q324" s="59" t="s">
        <v>118</v>
      </c>
      <c r="R324" s="76" t="s">
        <v>181</v>
      </c>
      <c r="S324" s="59"/>
      <c r="T324" s="59"/>
      <c r="U324" s="77" t="str">
        <f t="array" ref="U324">IFERROR(INDEX(DFD!$D$2:$D$1048791,MATCH($Q324,DFD!$B$2:$B$1048791,0)),"")</f>
        <v/>
      </c>
      <c r="V324" s="77" t="str">
        <f t="array" ref="V324">IFERROR(INDEX(DFD!$F$2:$F$1048791,MATCH($Q324,DFD!$B$2:$B$1048791,0)),"")</f>
        <v/>
      </c>
      <c r="W324" s="84" t="str">
        <f t="array" ref="W324">IFERROR(INDEX(DFD!$E$2:$E$1048791,MATCH($Q324,DFD!$B$2:$B$1048791,0)),"")</f>
        <v/>
      </c>
      <c r="X324" s="84" t="str">
        <f t="array" ref="X324">IFERROR(INDEX(DFD!$K$2:$K$1048791,MATCH($Q324,DFD!$B$2:$B$1048791,0)),"")</f>
        <v/>
      </c>
      <c r="Y324" s="84" t="str">
        <f t="array" ref="Y324">IFERROR(INDEX(DFD!$L$2:$L$1048790,MATCH($Q324,DFD!$B$2:$B$1048790,0)),"")</f>
        <v/>
      </c>
      <c r="Z324" s="84">
        <f t="shared" si="11"/>
        <v>45</v>
      </c>
      <c r="AA324" s="59"/>
      <c r="AB324" s="59" t="s">
        <v>78</v>
      </c>
      <c r="AC324" s="59"/>
      <c r="AD324" s="85">
        <v>46043.0</v>
      </c>
      <c r="AE324" s="86">
        <f t="shared" si="8"/>
        <v>1</v>
      </c>
    </row>
    <row r="325" ht="15.75" customHeight="1">
      <c r="A325" s="87" t="s">
        <v>1232</v>
      </c>
      <c r="B325" s="87" t="s">
        <v>101</v>
      </c>
      <c r="C325" s="88" t="s">
        <v>1233</v>
      </c>
      <c r="D325" s="88" t="s">
        <v>51</v>
      </c>
      <c r="E325" s="88">
        <v>6.0</v>
      </c>
      <c r="F325" s="89">
        <v>36000.0</v>
      </c>
      <c r="G325" s="90" t="s">
        <v>53</v>
      </c>
      <c r="H325" s="91">
        <v>46235.0</v>
      </c>
      <c r="I325" s="92" t="s">
        <v>17</v>
      </c>
      <c r="J325" s="92" t="s">
        <v>54</v>
      </c>
      <c r="K325" s="92" t="s">
        <v>66</v>
      </c>
      <c r="L325" s="92" t="s">
        <v>56</v>
      </c>
      <c r="M325" s="90" t="s">
        <v>132</v>
      </c>
      <c r="N325" s="92" t="s">
        <v>58</v>
      </c>
      <c r="O325" s="87" t="s">
        <v>69</v>
      </c>
      <c r="P325" s="87"/>
      <c r="Q325" s="87" t="s">
        <v>1234</v>
      </c>
      <c r="R325" s="93" t="s">
        <v>442</v>
      </c>
      <c r="S325" s="87"/>
      <c r="T325" s="87"/>
      <c r="U325" s="94" t="str">
        <f t="array" ref="U325">IFERROR(INDEX(DFD!$D$2:$D$1048791,MATCH($Q325,DFD!$B$2:$B$1048791,0)),"")</f>
        <v/>
      </c>
      <c r="V325" s="94" t="str">
        <f t="array" ref="V325">IFERROR(INDEX(DFD!$F$2:$F$1048791,MATCH($Q325,DFD!$B$2:$B$1048791,0)),"")</f>
        <v/>
      </c>
      <c r="W325" s="97" t="str">
        <f t="array" ref="W325">IFERROR(INDEX(DFD!$E$2:$E$1048791,MATCH($Q325,DFD!$B$2:$B$1048791,0)),"")</f>
        <v/>
      </c>
      <c r="X325" s="97" t="str">
        <f t="array" ref="X325">IFERROR(INDEX(DFD!$K$2:$K$1048791,MATCH($Q325,DFD!$B$2:$B$1048791,0)),"")</f>
        <v/>
      </c>
      <c r="Y325" s="97" t="str">
        <f t="array" ref="Y325">IFERROR(INDEX(DFD!$L$2:$L$1048790,MATCH($Q325,DFD!$B$2:$B$1048790,0)),"")</f>
        <v/>
      </c>
      <c r="Z325" s="97">
        <f t="shared" si="11"/>
        <v>45</v>
      </c>
      <c r="AA325" s="87"/>
      <c r="AB325" s="87" t="s">
        <v>78</v>
      </c>
      <c r="AC325" s="87"/>
      <c r="AD325" s="99">
        <v>46043.0</v>
      </c>
      <c r="AE325" s="100">
        <f t="shared" si="8"/>
        <v>1</v>
      </c>
    </row>
    <row r="326" ht="15.75" customHeight="1">
      <c r="A326" s="67" t="s">
        <v>1235</v>
      </c>
      <c r="B326" s="59" t="s">
        <v>427</v>
      </c>
      <c r="C326" s="60" t="s">
        <v>1236</v>
      </c>
      <c r="D326" s="60" t="s">
        <v>51</v>
      </c>
      <c r="E326" s="60">
        <v>1.0</v>
      </c>
      <c r="F326" s="72">
        <v>1000.0</v>
      </c>
      <c r="G326" s="73" t="s">
        <v>53</v>
      </c>
      <c r="H326" s="74">
        <v>46266.0</v>
      </c>
      <c r="I326" s="67" t="s">
        <v>18</v>
      </c>
      <c r="J326" s="67" t="s">
        <v>54</v>
      </c>
      <c r="K326" s="67" t="s">
        <v>429</v>
      </c>
      <c r="L326" s="67" t="s">
        <v>197</v>
      </c>
      <c r="M326" s="73" t="s">
        <v>112</v>
      </c>
      <c r="N326" s="67" t="s">
        <v>20</v>
      </c>
      <c r="O326" s="59" t="s">
        <v>69</v>
      </c>
      <c r="P326" s="59"/>
      <c r="Q326" s="59" t="s">
        <v>1237</v>
      </c>
      <c r="R326" s="76" t="s">
        <v>431</v>
      </c>
      <c r="S326" s="59"/>
      <c r="T326" s="59"/>
      <c r="U326" s="77" t="str">
        <f t="array" ref="U326">IFERROR(INDEX(DFD!$D$2:$D$1048791,MATCH($Q326,DFD!$B$2:$B$1048791,0)),"")</f>
        <v/>
      </c>
      <c r="V326" s="77" t="str">
        <f t="array" ref="V326">IFERROR(INDEX(DFD!$F$2:$F$1048791,MATCH($Q326,DFD!$B$2:$B$1048791,0)),"")</f>
        <v/>
      </c>
      <c r="W326" s="84" t="str">
        <f t="array" ref="W326">IFERROR(INDEX(DFD!$E$2:$E$1048791,MATCH($Q326,DFD!$B$2:$B$1048791,0)),"")</f>
        <v/>
      </c>
      <c r="X326" s="84" t="str">
        <f t="array" ref="X326">IFERROR(INDEX(DFD!$K$2:$K$1048791,MATCH($Q326,DFD!$B$2:$B$1048791,0)),"")</f>
        <v/>
      </c>
      <c r="Y326" s="84" t="str">
        <f t="array" ref="Y326">IFERROR(INDEX(DFD!$L$2:$L$1048790,MATCH($Q326,DFD!$B$2:$B$1048790,0)),"")</f>
        <v/>
      </c>
      <c r="Z326" s="84">
        <f t="shared" si="11"/>
        <v>45</v>
      </c>
      <c r="AA326" s="59"/>
      <c r="AB326" s="59" t="s">
        <v>288</v>
      </c>
      <c r="AC326" s="59"/>
      <c r="AD326" s="85">
        <v>46043.0</v>
      </c>
      <c r="AE326" s="86">
        <f t="shared" si="8"/>
        <v>1</v>
      </c>
    </row>
    <row r="327" ht="15.75" customHeight="1">
      <c r="A327" s="92" t="s">
        <v>1238</v>
      </c>
      <c r="B327" s="87" t="s">
        <v>427</v>
      </c>
      <c r="C327" s="88" t="s">
        <v>1239</v>
      </c>
      <c r="D327" s="88" t="s">
        <v>51</v>
      </c>
      <c r="E327" s="88">
        <v>1.0</v>
      </c>
      <c r="F327" s="89">
        <v>1000.0</v>
      </c>
      <c r="G327" s="90" t="s">
        <v>53</v>
      </c>
      <c r="H327" s="91">
        <v>46266.0</v>
      </c>
      <c r="I327" s="92" t="s">
        <v>18</v>
      </c>
      <c r="J327" s="92" t="s">
        <v>54</v>
      </c>
      <c r="K327" s="92" t="s">
        <v>429</v>
      </c>
      <c r="L327" s="92" t="s">
        <v>197</v>
      </c>
      <c r="M327" s="90" t="s">
        <v>112</v>
      </c>
      <c r="N327" s="92" t="s">
        <v>20</v>
      </c>
      <c r="O327" s="92" t="s">
        <v>89</v>
      </c>
      <c r="P327" s="87"/>
      <c r="Q327" s="87" t="s">
        <v>1237</v>
      </c>
      <c r="R327" s="93" t="s">
        <v>431</v>
      </c>
      <c r="S327" s="87"/>
      <c r="T327" s="87"/>
      <c r="U327" s="94" t="str">
        <f t="array" ref="U327">IFERROR(INDEX(DFD!$D$2:$D$1048791,MATCH($Q327,DFD!$B$2:$B$1048791,0)),"")</f>
        <v/>
      </c>
      <c r="V327" s="94" t="str">
        <f t="array" ref="V327">IFERROR(INDEX(DFD!$F$2:$F$1048791,MATCH($Q327,DFD!$B$2:$B$1048791,0)),"")</f>
        <v/>
      </c>
      <c r="W327" s="97" t="str">
        <f t="array" ref="W327">IFERROR(INDEX(DFD!$E$2:$E$1048791,MATCH($Q327,DFD!$B$2:$B$1048791,0)),"")</f>
        <v/>
      </c>
      <c r="X327" s="97" t="str">
        <f t="array" ref="X327">IFERROR(INDEX(DFD!$K$2:$K$1048791,MATCH($Q327,DFD!$B$2:$B$1048791,0)),"")</f>
        <v/>
      </c>
      <c r="Y327" s="97" t="str">
        <f t="array" ref="Y327">IFERROR(INDEX(DFD!$L$2:$L$1048790,MATCH($Q327,DFD!$B$2:$B$1048790,0)),"")</f>
        <v/>
      </c>
      <c r="Z327" s="97">
        <f t="shared" si="11"/>
        <v>45</v>
      </c>
      <c r="AA327" s="87"/>
      <c r="AB327" s="87" t="s">
        <v>288</v>
      </c>
      <c r="AC327" s="87"/>
      <c r="AD327" s="99">
        <v>46043.0</v>
      </c>
      <c r="AE327" s="100">
        <f t="shared" si="8"/>
        <v>1</v>
      </c>
    </row>
    <row r="328" ht="15.75" customHeight="1">
      <c r="A328" s="67" t="s">
        <v>1240</v>
      </c>
      <c r="B328" s="59" t="s">
        <v>427</v>
      </c>
      <c r="C328" s="60" t="s">
        <v>1241</v>
      </c>
      <c r="D328" s="60" t="s">
        <v>51</v>
      </c>
      <c r="E328" s="60">
        <v>1.0</v>
      </c>
      <c r="F328" s="72">
        <v>200000.0</v>
      </c>
      <c r="G328" s="73" t="s">
        <v>53</v>
      </c>
      <c r="H328" s="74">
        <v>46266.0</v>
      </c>
      <c r="I328" s="67" t="s">
        <v>18</v>
      </c>
      <c r="J328" s="67" t="s">
        <v>54</v>
      </c>
      <c r="K328" s="67" t="s">
        <v>429</v>
      </c>
      <c r="L328" s="67" t="s">
        <v>197</v>
      </c>
      <c r="M328" s="73" t="s">
        <v>68</v>
      </c>
      <c r="N328" s="67" t="s">
        <v>20</v>
      </c>
      <c r="O328" s="59" t="s">
        <v>69</v>
      </c>
      <c r="P328" s="59"/>
      <c r="Q328" s="59" t="s">
        <v>1242</v>
      </c>
      <c r="R328" s="76" t="s">
        <v>431</v>
      </c>
      <c r="S328" s="59"/>
      <c r="T328" s="59"/>
      <c r="U328" s="77" t="str">
        <f t="array" ref="U328">IFERROR(INDEX(DFD!$D$2:$D$1048791,MATCH($Q328,DFD!$B$2:$B$1048791,0)),"")</f>
        <v/>
      </c>
      <c r="V328" s="77" t="str">
        <f t="array" ref="V328">IFERROR(INDEX(DFD!$F$2:$F$1048791,MATCH($Q328,DFD!$B$2:$B$1048791,0)),"")</f>
        <v/>
      </c>
      <c r="W328" s="84" t="str">
        <f t="array" ref="W328">IFERROR(INDEX(DFD!$E$2:$E$1048791,MATCH($Q328,DFD!$B$2:$B$1048791,0)),"")</f>
        <v/>
      </c>
      <c r="X328" s="84" t="str">
        <f t="array" ref="X328">IFERROR(INDEX(DFD!$K$2:$K$1048791,MATCH($Q328,DFD!$B$2:$B$1048791,0)),"")</f>
        <v/>
      </c>
      <c r="Y328" s="84" t="str">
        <f t="array" ref="Y328">IFERROR(INDEX(DFD!$L$2:$L$1048790,MATCH($Q328,DFD!$B$2:$B$1048790,0)),"")</f>
        <v/>
      </c>
      <c r="Z328" s="84">
        <f t="shared" si="11"/>
        <v>45</v>
      </c>
      <c r="AA328" s="59"/>
      <c r="AB328" s="59" t="s">
        <v>78</v>
      </c>
      <c r="AC328" s="59"/>
      <c r="AD328" s="85">
        <v>46043.0</v>
      </c>
      <c r="AE328" s="86">
        <f t="shared" si="8"/>
        <v>1</v>
      </c>
    </row>
    <row r="329" ht="15.75" customHeight="1">
      <c r="A329" s="87" t="s">
        <v>1244</v>
      </c>
      <c r="B329" s="87" t="s">
        <v>1245</v>
      </c>
      <c r="C329" s="116" t="s">
        <v>1246</v>
      </c>
      <c r="D329" s="88" t="s">
        <v>51</v>
      </c>
      <c r="E329" s="88">
        <v>1.0</v>
      </c>
      <c r="F329" s="89">
        <v>2.0005183E7</v>
      </c>
      <c r="G329" s="90" t="s">
        <v>53</v>
      </c>
      <c r="H329" s="91">
        <v>46235.0</v>
      </c>
      <c r="I329" s="92" t="s">
        <v>18</v>
      </c>
      <c r="J329" s="92" t="s">
        <v>54</v>
      </c>
      <c r="K329" s="92" t="s">
        <v>429</v>
      </c>
      <c r="L329" s="92" t="s">
        <v>1247</v>
      </c>
      <c r="M329" s="90" t="s">
        <v>1248</v>
      </c>
      <c r="N329" s="92" t="s">
        <v>52</v>
      </c>
      <c r="O329" s="87" t="s">
        <v>69</v>
      </c>
      <c r="P329" s="87"/>
      <c r="Q329" s="87" t="s">
        <v>52</v>
      </c>
      <c r="R329" s="93" t="s">
        <v>431</v>
      </c>
      <c r="S329" s="87"/>
      <c r="T329" s="87"/>
      <c r="U329" s="94" t="str">
        <f t="array" ref="U329">IFERROR(INDEX(DFD!$D$2:$D$1048791,MATCH($Q329,DFD!$B$2:$B$1048791,0)),"")</f>
        <v/>
      </c>
      <c r="V329" s="94" t="str">
        <f t="array" ref="V329">IFERROR(INDEX(DFD!$F$2:$F$1048791,MATCH($Q329,DFD!$B$2:$B$1048791,0)),"")</f>
        <v/>
      </c>
      <c r="W329" s="97" t="str">
        <f t="array" ref="W329">IFERROR(INDEX(DFD!$E$2:$E$1048791,MATCH($Q329,DFD!$B$2:$B$1048791,0)),"")</f>
        <v/>
      </c>
      <c r="X329" s="97" t="str">
        <f t="array" ref="X329">IFERROR(INDEX(DFD!$K$2:$K$1048791,MATCH($Q329,DFD!$B$2:$B$1048791,0)),"")</f>
        <v/>
      </c>
      <c r="Y329" s="97" t="str">
        <f t="array" ref="Y329">IFERROR(INDEX(DFD!$L$2:$L$1048790,MATCH($Q329,DFD!$B$2:$B$1048790,0)),"")</f>
        <v/>
      </c>
      <c r="Z329" s="97">
        <f t="shared" si="11"/>
        <v>45</v>
      </c>
      <c r="AA329" s="87"/>
      <c r="AB329" s="87" t="s">
        <v>72</v>
      </c>
      <c r="AC329" s="87"/>
      <c r="AD329" s="99">
        <v>46043.0</v>
      </c>
      <c r="AE329" s="100">
        <f t="shared" si="8"/>
        <v>1</v>
      </c>
    </row>
    <row r="330" ht="15.75" customHeight="1">
      <c r="A330" s="59" t="s">
        <v>1251</v>
      </c>
      <c r="B330" s="59" t="s">
        <v>52</v>
      </c>
      <c r="C330" s="81" t="s">
        <v>1252</v>
      </c>
      <c r="D330" s="60" t="s">
        <v>1253</v>
      </c>
      <c r="E330" s="60">
        <v>12.0</v>
      </c>
      <c r="F330" s="72">
        <v>5900000.0</v>
      </c>
      <c r="G330" s="73" t="s">
        <v>437</v>
      </c>
      <c r="H330" s="74">
        <v>46266.0</v>
      </c>
      <c r="I330" s="67" t="s">
        <v>17</v>
      </c>
      <c r="J330" s="67" t="s">
        <v>54</v>
      </c>
      <c r="K330" s="67" t="s">
        <v>1254</v>
      </c>
      <c r="L330" s="67" t="s">
        <v>56</v>
      </c>
      <c r="M330" s="73" t="s">
        <v>1255</v>
      </c>
      <c r="N330" s="67" t="s">
        <v>58</v>
      </c>
      <c r="O330" s="67" t="s">
        <v>89</v>
      </c>
      <c r="P330" s="59"/>
      <c r="Q330" s="59" t="s">
        <v>52</v>
      </c>
      <c r="R330" s="76" t="s">
        <v>1256</v>
      </c>
      <c r="S330" s="59"/>
      <c r="T330" s="59"/>
      <c r="U330" s="77" t="str">
        <f t="array" ref="U330">IFERROR(INDEX(DFD!$D$2:$D$1048791,MATCH($Q330,DFD!$B$2:$B$1048791,0)),"")</f>
        <v/>
      </c>
      <c r="V330" s="77" t="str">
        <f t="array" ref="V330">IFERROR(INDEX(DFD!$F$2:$F$1048791,MATCH($Q330,DFD!$B$2:$B$1048791,0)),"")</f>
        <v/>
      </c>
      <c r="W330" s="84" t="str">
        <f t="array" ref="W330">IFERROR(INDEX(DFD!$E$2:$E$1048791,MATCH($Q330,DFD!$B$2:$B$1048791,0)),"")</f>
        <v/>
      </c>
      <c r="X330" s="84" t="str">
        <f t="array" ref="X330">IFERROR(INDEX(DFD!$K$2:$K$1048791,MATCH($Q330,DFD!$B$2:$B$1048791,0)),"")</f>
        <v/>
      </c>
      <c r="Y330" s="84" t="str">
        <f t="array" ref="Y330">IFERROR(INDEX(DFD!$L$2:$L$1048790,MATCH($Q330,DFD!$B$2:$B$1048790,0)),"")</f>
        <v/>
      </c>
      <c r="Z330" s="84">
        <f t="shared" si="11"/>
        <v>45</v>
      </c>
      <c r="AA330" s="59"/>
      <c r="AB330" s="59" t="s">
        <v>72</v>
      </c>
      <c r="AC330" s="59"/>
      <c r="AD330" s="85">
        <v>46043.0</v>
      </c>
      <c r="AE330" s="86">
        <f t="shared" si="8"/>
        <v>1</v>
      </c>
    </row>
    <row r="331" ht="15.75" customHeight="1">
      <c r="A331" s="92" t="s">
        <v>1258</v>
      </c>
      <c r="B331" s="87" t="s">
        <v>427</v>
      </c>
      <c r="C331" s="116" t="s">
        <v>1259</v>
      </c>
      <c r="D331" s="88" t="s">
        <v>51</v>
      </c>
      <c r="E331" s="88">
        <v>1.0</v>
      </c>
      <c r="F331" s="89">
        <v>3000000.0</v>
      </c>
      <c r="G331" s="90" t="s">
        <v>437</v>
      </c>
      <c r="H331" s="91">
        <v>46266.0</v>
      </c>
      <c r="I331" s="92" t="s">
        <v>18</v>
      </c>
      <c r="J331" s="92" t="s">
        <v>54</v>
      </c>
      <c r="K331" s="92" t="s">
        <v>429</v>
      </c>
      <c r="L331" s="92" t="s">
        <v>197</v>
      </c>
      <c r="M331" s="90" t="s">
        <v>1237</v>
      </c>
      <c r="N331" s="92" t="s">
        <v>20</v>
      </c>
      <c r="O331" s="87" t="s">
        <v>69</v>
      </c>
      <c r="P331" s="87"/>
      <c r="Q331" s="87" t="s">
        <v>1237</v>
      </c>
      <c r="R331" s="93" t="s">
        <v>431</v>
      </c>
      <c r="S331" s="87"/>
      <c r="T331" s="87"/>
      <c r="U331" s="94" t="str">
        <f t="array" ref="U331">IFERROR(INDEX(DFD!$D$2:$D$1048791,MATCH($Q331,DFD!$B$2:$B$1048791,0)),"")</f>
        <v/>
      </c>
      <c r="V331" s="94" t="str">
        <f t="array" ref="V331">IFERROR(INDEX(DFD!$F$2:$F$1048791,MATCH($Q331,DFD!$B$2:$B$1048791,0)),"")</f>
        <v/>
      </c>
      <c r="W331" s="97" t="str">
        <f t="array" ref="W331">IFERROR(INDEX(DFD!$E$2:$E$1048791,MATCH($Q331,DFD!$B$2:$B$1048791,0)),"")</f>
        <v/>
      </c>
      <c r="X331" s="97" t="str">
        <f t="array" ref="X331">IFERROR(INDEX(DFD!$K$2:$K$1048791,MATCH($Q331,DFD!$B$2:$B$1048791,0)),"")</f>
        <v/>
      </c>
      <c r="Y331" s="97" t="str">
        <f t="array" ref="Y331">IFERROR(INDEX(DFD!$L$2:$L$1048790,MATCH($Q331,DFD!$B$2:$B$1048790,0)),"")</f>
        <v/>
      </c>
      <c r="Z331" s="97">
        <f t="shared" si="11"/>
        <v>45</v>
      </c>
      <c r="AA331" s="87"/>
      <c r="AB331" s="87" t="s">
        <v>288</v>
      </c>
      <c r="AC331" s="87"/>
      <c r="AD331" s="99">
        <v>46043.0</v>
      </c>
      <c r="AE331" s="100">
        <f t="shared" si="8"/>
        <v>1</v>
      </c>
    </row>
    <row r="332" ht="15.75" customHeight="1">
      <c r="A332" s="67" t="s">
        <v>1261</v>
      </c>
      <c r="B332" s="59" t="s">
        <v>427</v>
      </c>
      <c r="C332" s="81" t="s">
        <v>1262</v>
      </c>
      <c r="D332" s="60" t="s">
        <v>51</v>
      </c>
      <c r="E332" s="60">
        <v>1.0</v>
      </c>
      <c r="F332" s="72">
        <v>1000000.0</v>
      </c>
      <c r="G332" s="73" t="s">
        <v>437</v>
      </c>
      <c r="H332" s="74">
        <v>46266.0</v>
      </c>
      <c r="I332" s="67" t="s">
        <v>18</v>
      </c>
      <c r="J332" s="67" t="s">
        <v>54</v>
      </c>
      <c r="K332" s="67" t="s">
        <v>429</v>
      </c>
      <c r="L332" s="67" t="s">
        <v>56</v>
      </c>
      <c r="M332" s="73" t="s">
        <v>1237</v>
      </c>
      <c r="N332" s="67" t="s">
        <v>20</v>
      </c>
      <c r="O332" s="59" t="s">
        <v>69</v>
      </c>
      <c r="P332" s="59"/>
      <c r="Q332" s="59" t="s">
        <v>1237</v>
      </c>
      <c r="R332" s="76" t="s">
        <v>431</v>
      </c>
      <c r="S332" s="59"/>
      <c r="T332" s="59"/>
      <c r="U332" s="77" t="str">
        <f t="array" ref="U332">IFERROR(INDEX(DFD!$D$2:$D$1048791,MATCH($Q332,DFD!$B$2:$B$1048791,0)),"")</f>
        <v/>
      </c>
      <c r="V332" s="77" t="str">
        <f t="array" ref="V332">IFERROR(INDEX(DFD!$F$2:$F$1048791,MATCH($Q332,DFD!$B$2:$B$1048791,0)),"")</f>
        <v/>
      </c>
      <c r="W332" s="84" t="str">
        <f t="array" ref="W332">IFERROR(INDEX(DFD!$E$2:$E$1048791,MATCH($Q332,DFD!$B$2:$B$1048791,0)),"")</f>
        <v/>
      </c>
      <c r="X332" s="84" t="str">
        <f t="array" ref="X332">IFERROR(INDEX(DFD!$K$2:$K$1048791,MATCH($Q332,DFD!$B$2:$B$1048791,0)),"")</f>
        <v/>
      </c>
      <c r="Y332" s="84" t="str">
        <f t="array" ref="Y332">IFERROR(INDEX(DFD!$L$2:$L$1048790,MATCH($Q332,DFD!$B$2:$B$1048790,0)),"")</f>
        <v/>
      </c>
      <c r="Z332" s="84">
        <f t="shared" si="11"/>
        <v>45</v>
      </c>
      <c r="AA332" s="59"/>
      <c r="AB332" s="59" t="s">
        <v>288</v>
      </c>
      <c r="AC332" s="59"/>
      <c r="AD332" s="85">
        <v>46043.0</v>
      </c>
      <c r="AE332" s="86">
        <f t="shared" si="8"/>
        <v>1</v>
      </c>
    </row>
    <row r="333" ht="15.75" customHeight="1">
      <c r="A333" s="87" t="s">
        <v>1265</v>
      </c>
      <c r="B333" s="87" t="s">
        <v>1245</v>
      </c>
      <c r="C333" s="116" t="s">
        <v>1266</v>
      </c>
      <c r="D333" s="88" t="s">
        <v>51</v>
      </c>
      <c r="E333" s="88">
        <v>1.0</v>
      </c>
      <c r="F333" s="89">
        <v>1.1893984E7</v>
      </c>
      <c r="G333" s="90" t="s">
        <v>53</v>
      </c>
      <c r="H333" s="91">
        <v>46235.0</v>
      </c>
      <c r="I333" s="92" t="s">
        <v>18</v>
      </c>
      <c r="J333" s="92" t="s">
        <v>54</v>
      </c>
      <c r="K333" s="92" t="s">
        <v>429</v>
      </c>
      <c r="L333" s="92" t="s">
        <v>67</v>
      </c>
      <c r="M333" s="90" t="s">
        <v>1248</v>
      </c>
      <c r="N333" s="92" t="s">
        <v>52</v>
      </c>
      <c r="O333" s="92" t="s">
        <v>89</v>
      </c>
      <c r="P333" s="87"/>
      <c r="Q333" s="87" t="s">
        <v>52</v>
      </c>
      <c r="R333" s="93" t="s">
        <v>1266</v>
      </c>
      <c r="S333" s="87"/>
      <c r="T333" s="87"/>
      <c r="U333" s="94" t="str">
        <f t="array" ref="U333">IFERROR(INDEX(DFD!$D$2:$D$1048791,MATCH($Q333,DFD!$B$2:$B$1048791,0)),"")</f>
        <v/>
      </c>
      <c r="V333" s="94" t="str">
        <f t="array" ref="V333">IFERROR(INDEX(DFD!$F$2:$F$1048791,MATCH($Q333,DFD!$B$2:$B$1048791,0)),"")</f>
        <v/>
      </c>
      <c r="W333" s="97" t="str">
        <f t="array" ref="W333">IFERROR(INDEX(DFD!$E$2:$E$1048791,MATCH($Q333,DFD!$B$2:$B$1048791,0)),"")</f>
        <v/>
      </c>
      <c r="X333" s="97" t="str">
        <f t="array" ref="X333">IFERROR(INDEX(DFD!$K$2:$K$1048791,MATCH($Q333,DFD!$B$2:$B$1048791,0)),"")</f>
        <v/>
      </c>
      <c r="Y333" s="97" t="str">
        <f t="array" ref="Y333">IFERROR(INDEX(DFD!$L$2:$L$1048790,MATCH($Q333,DFD!$B$2:$B$1048790,0)),"")</f>
        <v/>
      </c>
      <c r="Z333" s="97">
        <f t="shared" si="11"/>
        <v>45</v>
      </c>
      <c r="AA333" s="87"/>
      <c r="AB333" s="87" t="s">
        <v>72</v>
      </c>
      <c r="AC333" s="87"/>
      <c r="AD333" s="99">
        <v>46043.0</v>
      </c>
      <c r="AE333" s="100">
        <f t="shared" si="8"/>
        <v>1</v>
      </c>
    </row>
    <row r="334" ht="15.75" customHeight="1">
      <c r="A334" s="67" t="s">
        <v>1268</v>
      </c>
      <c r="B334" s="59" t="s">
        <v>427</v>
      </c>
      <c r="C334" s="60" t="s">
        <v>1269</v>
      </c>
      <c r="D334" s="60" t="s">
        <v>51</v>
      </c>
      <c r="E334" s="60">
        <v>11.0</v>
      </c>
      <c r="F334" s="72">
        <v>100000.0</v>
      </c>
      <c r="G334" s="73" t="s">
        <v>53</v>
      </c>
      <c r="H334" s="74">
        <v>46266.0</v>
      </c>
      <c r="I334" s="67" t="s">
        <v>17</v>
      </c>
      <c r="J334" s="67" t="s">
        <v>54</v>
      </c>
      <c r="K334" s="67" t="s">
        <v>372</v>
      </c>
      <c r="L334" s="67" t="s">
        <v>67</v>
      </c>
      <c r="M334" s="73" t="s">
        <v>68</v>
      </c>
      <c r="N334" s="67" t="s">
        <v>20</v>
      </c>
      <c r="O334" s="59" t="s">
        <v>69</v>
      </c>
      <c r="P334" s="59"/>
      <c r="Q334" s="59" t="s">
        <v>1270</v>
      </c>
      <c r="R334" s="76" t="s">
        <v>1271</v>
      </c>
      <c r="S334" s="59"/>
      <c r="T334" s="59"/>
      <c r="U334" s="77" t="str">
        <f t="array" ref="U334">IFERROR(INDEX(DFD!$D$2:$D$1048791,MATCH($Q334,DFD!$B$2:$B$1048791,0)),"")</f>
        <v/>
      </c>
      <c r="V334" s="77" t="s">
        <v>1272</v>
      </c>
      <c r="W334" s="84" t="str">
        <f t="array" ref="W334">IFERROR(INDEX(DFD!$E$2:$E$1048791,MATCH($Q334,DFD!$B$2:$B$1048791,0)),"")</f>
        <v/>
      </c>
      <c r="X334" s="84" t="str">
        <f t="array" ref="X334">IFERROR(INDEX(DFD!$K$2:$K$1048791,MATCH($Q334,DFD!$B$2:$B$1048791,0)),"")</f>
        <v/>
      </c>
      <c r="Y334" s="84" t="str">
        <f t="array" ref="Y334">IFERROR(INDEX(DFD!$L$2:$L$1048790,MATCH($Q334,DFD!$B$2:$B$1048790,0)),"")</f>
        <v/>
      </c>
      <c r="Z334" s="84">
        <f t="shared" si="11"/>
        <v>45</v>
      </c>
      <c r="AA334" s="59"/>
      <c r="AB334" s="59" t="s">
        <v>78</v>
      </c>
      <c r="AC334" s="59"/>
      <c r="AD334" s="85">
        <v>46043.0</v>
      </c>
      <c r="AE334" s="86">
        <f t="shared" si="8"/>
        <v>1</v>
      </c>
    </row>
    <row r="335" ht="15.75" customHeight="1">
      <c r="A335" s="92" t="s">
        <v>1273</v>
      </c>
      <c r="B335" s="87" t="s">
        <v>277</v>
      </c>
      <c r="C335" s="88" t="s">
        <v>1274</v>
      </c>
      <c r="D335" s="88" t="s">
        <v>51</v>
      </c>
      <c r="E335" s="88">
        <v>1.0</v>
      </c>
      <c r="F335" s="89">
        <v>65000.0</v>
      </c>
      <c r="G335" s="90" t="s">
        <v>53</v>
      </c>
      <c r="H335" s="91">
        <v>46031.0</v>
      </c>
      <c r="I335" s="92" t="s">
        <v>17</v>
      </c>
      <c r="J335" s="92" t="s">
        <v>54</v>
      </c>
      <c r="K335" s="92" t="s">
        <v>372</v>
      </c>
      <c r="L335" s="92" t="s">
        <v>67</v>
      </c>
      <c r="M335" s="90" t="s">
        <v>132</v>
      </c>
      <c r="N335" s="92" t="s">
        <v>20</v>
      </c>
      <c r="O335" s="87" t="s">
        <v>69</v>
      </c>
      <c r="P335" s="87"/>
      <c r="Q335" s="87" t="s">
        <v>1275</v>
      </c>
      <c r="R335" s="93" t="s">
        <v>1276</v>
      </c>
      <c r="S335" s="87"/>
      <c r="T335" s="87"/>
      <c r="U335" s="94" t="str">
        <f t="array" ref="U335">IFERROR(INDEX(DFD!$D$2:$D$1048791,MATCH($Q335,DFD!$B$2:$B$1048791,0)),"")</f>
        <v/>
      </c>
      <c r="V335" s="94" t="str">
        <f t="array" ref="V335">IFERROR(INDEX(DFD!$F$2:$F$1048791,MATCH($Q335,DFD!$B$2:$B$1048791,0)),"")</f>
        <v/>
      </c>
      <c r="W335" s="97" t="str">
        <f t="array" ref="W335">IFERROR(INDEX(DFD!$E$2:$E$1048791,MATCH($Q335,DFD!$B$2:$B$1048791,0)),"")</f>
        <v/>
      </c>
      <c r="X335" s="97" t="str">
        <f t="array" ref="X335">IFERROR(INDEX(DFD!$K$2:$K$1048791,MATCH($Q335,DFD!$B$2:$B$1048791,0)),"")</f>
        <v/>
      </c>
      <c r="Y335" s="97" t="str">
        <f t="array" ref="Y335">IFERROR(INDEX(DFD!$L$2:$L$1048790,MATCH($Q335,DFD!$B$2:$B$1048790,0)),"")</f>
        <v/>
      </c>
      <c r="Z335" s="97">
        <f t="shared" si="11"/>
        <v>45</v>
      </c>
      <c r="AA335" s="87"/>
      <c r="AB335" s="87" t="s">
        <v>78</v>
      </c>
      <c r="AC335" s="87"/>
      <c r="AD335" s="99">
        <v>46043.0</v>
      </c>
      <c r="AE335" s="100">
        <f t="shared" si="8"/>
        <v>1</v>
      </c>
    </row>
    <row r="336" ht="15.75" customHeight="1">
      <c r="A336" s="67" t="s">
        <v>1278</v>
      </c>
      <c r="B336" s="59" t="s">
        <v>162</v>
      </c>
      <c r="C336" s="60" t="s">
        <v>1279</v>
      </c>
      <c r="D336" s="60" t="s">
        <v>51</v>
      </c>
      <c r="E336" s="60">
        <v>1.0</v>
      </c>
      <c r="F336" s="72">
        <v>26000.0</v>
      </c>
      <c r="G336" s="73" t="s">
        <v>53</v>
      </c>
      <c r="H336" s="74">
        <v>46031.0</v>
      </c>
      <c r="I336" s="67" t="s">
        <v>17</v>
      </c>
      <c r="J336" s="67" t="s">
        <v>54</v>
      </c>
      <c r="K336" s="67" t="s">
        <v>372</v>
      </c>
      <c r="L336" s="67" t="s">
        <v>67</v>
      </c>
      <c r="M336" s="73" t="s">
        <v>132</v>
      </c>
      <c r="N336" s="67" t="s">
        <v>20</v>
      </c>
      <c r="O336" s="67" t="s">
        <v>89</v>
      </c>
      <c r="P336" s="59"/>
      <c r="Q336" s="59" t="s">
        <v>1280</v>
      </c>
      <c r="R336" s="76" t="s">
        <v>1281</v>
      </c>
      <c r="S336" s="59"/>
      <c r="T336" s="59"/>
      <c r="U336" s="77" t="str">
        <f t="array" ref="U336">IFERROR(INDEX(DFD!$D$2:$D$1048791,MATCH($Q336,DFD!$B$2:$B$1048791,0)),"")</f>
        <v/>
      </c>
      <c r="V336" s="77" t="str">
        <f t="array" ref="V336">IFERROR(INDEX(DFD!$F$2:$F$1048791,MATCH($Q336,DFD!$B$2:$B$1048791,0)),"")</f>
        <v/>
      </c>
      <c r="W336" s="84" t="str">
        <f t="array" ref="W336">IFERROR(INDEX(DFD!$E$2:$E$1048791,MATCH($Q336,DFD!$B$2:$B$1048791,0)),"")</f>
        <v/>
      </c>
      <c r="X336" s="84" t="str">
        <f t="array" ref="X336">IFERROR(INDEX(DFD!$K$2:$K$1048791,MATCH($Q336,DFD!$B$2:$B$1048791,0)),"")</f>
        <v/>
      </c>
      <c r="Y336" s="84" t="str">
        <f t="array" ref="Y336">IFERROR(INDEX(DFD!$L$2:$L$1048790,MATCH($Q336,DFD!$B$2:$B$1048790,0)),"")</f>
        <v/>
      </c>
      <c r="Z336" s="84">
        <f t="shared" si="11"/>
        <v>45</v>
      </c>
      <c r="AA336" s="59"/>
      <c r="AB336" s="59" t="s">
        <v>78</v>
      </c>
      <c r="AC336" s="59"/>
      <c r="AD336" s="85">
        <v>46043.0</v>
      </c>
      <c r="AE336" s="86">
        <f t="shared" si="8"/>
        <v>1</v>
      </c>
    </row>
    <row r="337" ht="15.75" customHeight="1">
      <c r="A337" s="92" t="s">
        <v>1283</v>
      </c>
      <c r="B337" s="87" t="s">
        <v>162</v>
      </c>
      <c r="C337" s="88" t="s">
        <v>1284</v>
      </c>
      <c r="D337" s="88" t="s">
        <v>51</v>
      </c>
      <c r="E337" s="88">
        <v>1.0</v>
      </c>
      <c r="F337" s="89">
        <v>14000.0</v>
      </c>
      <c r="G337" s="90" t="s">
        <v>53</v>
      </c>
      <c r="H337" s="91">
        <v>46031.0</v>
      </c>
      <c r="I337" s="92" t="s">
        <v>17</v>
      </c>
      <c r="J337" s="92" t="s">
        <v>54</v>
      </c>
      <c r="K337" s="92" t="s">
        <v>372</v>
      </c>
      <c r="L337" s="92" t="s">
        <v>67</v>
      </c>
      <c r="M337" s="90" t="s">
        <v>132</v>
      </c>
      <c r="N337" s="92" t="s">
        <v>20</v>
      </c>
      <c r="O337" s="87" t="s">
        <v>69</v>
      </c>
      <c r="P337" s="87"/>
      <c r="Q337" s="87" t="s">
        <v>1285</v>
      </c>
      <c r="R337" s="93" t="s">
        <v>1281</v>
      </c>
      <c r="S337" s="87"/>
      <c r="T337" s="87"/>
      <c r="U337" s="94" t="str">
        <f t="array" ref="U337">IFERROR(INDEX(DFD!$D$2:$D$1048791,MATCH($Q337,DFD!$B$2:$B$1048791,0)),"")</f>
        <v/>
      </c>
      <c r="V337" s="94" t="str">
        <f t="array" ref="V337">IFERROR(INDEX(DFD!$F$2:$F$1048791,MATCH($Q337,DFD!$B$2:$B$1048791,0)),"")</f>
        <v/>
      </c>
      <c r="W337" s="97" t="str">
        <f t="array" ref="W337">IFERROR(INDEX(DFD!$E$2:$E$1048791,MATCH($Q337,DFD!$B$2:$B$1048791,0)),"")</f>
        <v/>
      </c>
      <c r="X337" s="97" t="str">
        <f t="array" ref="X337">IFERROR(INDEX(DFD!$K$2:$K$1048791,MATCH($Q337,DFD!$B$2:$B$1048791,0)),"")</f>
        <v/>
      </c>
      <c r="Y337" s="97" t="str">
        <f t="array" ref="Y337">IFERROR(INDEX(DFD!$L$2:$L$1048790,MATCH($Q337,DFD!$B$2:$B$1048790,0)),"")</f>
        <v/>
      </c>
      <c r="Z337" s="97">
        <f t="shared" si="11"/>
        <v>45</v>
      </c>
      <c r="AA337" s="87"/>
      <c r="AB337" s="87" t="s">
        <v>78</v>
      </c>
      <c r="AC337" s="87"/>
      <c r="AD337" s="99">
        <v>46043.0</v>
      </c>
      <c r="AE337" s="100">
        <f t="shared" si="8"/>
        <v>1</v>
      </c>
    </row>
    <row r="338" ht="15.75" customHeight="1">
      <c r="A338" s="67" t="s">
        <v>1283</v>
      </c>
      <c r="B338" s="59" t="s">
        <v>162</v>
      </c>
      <c r="C338" s="60" t="s">
        <v>1287</v>
      </c>
      <c r="D338" s="60" t="s">
        <v>51</v>
      </c>
      <c r="E338" s="60">
        <v>1.0</v>
      </c>
      <c r="F338" s="72">
        <v>14000.0</v>
      </c>
      <c r="G338" s="73"/>
      <c r="H338" s="74"/>
      <c r="I338" s="67" t="s">
        <v>17</v>
      </c>
      <c r="J338" s="67"/>
      <c r="K338" s="67"/>
      <c r="L338" s="67"/>
      <c r="M338" s="73" t="s">
        <v>132</v>
      </c>
      <c r="N338" s="67" t="s">
        <v>20</v>
      </c>
      <c r="O338" s="59" t="s">
        <v>69</v>
      </c>
      <c r="P338" s="59"/>
      <c r="Q338" s="59" t="s">
        <v>1288</v>
      </c>
      <c r="R338" s="76" t="s">
        <v>1281</v>
      </c>
      <c r="S338" s="59"/>
      <c r="T338" s="59"/>
      <c r="U338" s="77" t="str">
        <f t="array" ref="U338">IFERROR(INDEX(DFD!$D$2:$D$1048791,MATCH($Q338,DFD!$B$2:$B$1048791,0)),"")</f>
        <v/>
      </c>
      <c r="V338" s="77" t="str">
        <f t="array" ref="V338">IFERROR(INDEX(DFD!$F$2:$F$1048791,MATCH($Q338,DFD!$B$2:$B$1048791,0)),"")</f>
        <v/>
      </c>
      <c r="W338" s="84" t="str">
        <f t="array" ref="W338">IFERROR(INDEX(DFD!$E$2:$E$1048791,MATCH($Q338,DFD!$B$2:$B$1048791,0)),"")</f>
        <v/>
      </c>
      <c r="X338" s="84" t="str">
        <f t="array" ref="X338">IFERROR(INDEX(DFD!$K$2:$K$1048791,MATCH($Q338,DFD!$B$2:$B$1048791,0)),"")</f>
        <v/>
      </c>
      <c r="Y338" s="84" t="str">
        <f t="array" ref="Y338">IFERROR(INDEX(DFD!$L$2:$L$1048790,MATCH($Q338,DFD!$B$2:$B$1048790,0)),"")</f>
        <v/>
      </c>
      <c r="Z338" s="84">
        <f t="shared" si="11"/>
        <v>45</v>
      </c>
      <c r="AA338" s="59"/>
      <c r="AB338" s="59" t="s">
        <v>78</v>
      </c>
      <c r="AC338" s="59"/>
      <c r="AD338" s="85">
        <v>46043.0</v>
      </c>
      <c r="AE338" s="86">
        <f t="shared" si="8"/>
        <v>1</v>
      </c>
    </row>
    <row r="339" ht="15.75" customHeight="1">
      <c r="A339" s="92" t="s">
        <v>1290</v>
      </c>
      <c r="B339" s="87" t="s">
        <v>81</v>
      </c>
      <c r="C339" s="88" t="s">
        <v>1291</v>
      </c>
      <c r="D339" s="88" t="s">
        <v>51</v>
      </c>
      <c r="E339" s="88">
        <v>1.0</v>
      </c>
      <c r="F339" s="89">
        <v>5000.0</v>
      </c>
      <c r="G339" s="90" t="s">
        <v>53</v>
      </c>
      <c r="H339" s="91">
        <v>46204.0</v>
      </c>
      <c r="I339" s="92" t="s">
        <v>17</v>
      </c>
      <c r="J339" s="92" t="s">
        <v>54</v>
      </c>
      <c r="K339" s="92" t="s">
        <v>161</v>
      </c>
      <c r="L339" s="92" t="s">
        <v>56</v>
      </c>
      <c r="M339" s="90" t="s">
        <v>132</v>
      </c>
      <c r="N339" s="92" t="s">
        <v>20</v>
      </c>
      <c r="O339" s="92" t="s">
        <v>89</v>
      </c>
      <c r="P339" s="87"/>
      <c r="Q339" s="87" t="s">
        <v>1292</v>
      </c>
      <c r="R339" s="93" t="s">
        <v>1293</v>
      </c>
      <c r="S339" s="87"/>
      <c r="T339" s="87"/>
      <c r="U339" s="94" t="str">
        <f t="array" ref="U339">IFERROR(INDEX(DFD!$D$2:$D$1048791,MATCH($Q339,DFD!$B$2:$B$1048791,0)),"")</f>
        <v/>
      </c>
      <c r="V339" s="94" t="str">
        <f t="array" ref="V339">IFERROR(INDEX(DFD!$F$2:$F$1048791,MATCH($Q339,DFD!$B$2:$B$1048791,0)),"")</f>
        <v/>
      </c>
      <c r="W339" s="97" t="str">
        <f t="array" ref="W339">IFERROR(INDEX(DFD!$E$2:$E$1048791,MATCH($Q339,DFD!$B$2:$B$1048791,0)),"")</f>
        <v/>
      </c>
      <c r="X339" s="97" t="str">
        <f t="array" ref="X339">IFERROR(INDEX(DFD!$K$2:$K$1048791,MATCH($Q339,DFD!$B$2:$B$1048791,0)),"")</f>
        <v/>
      </c>
      <c r="Y339" s="97" t="str">
        <f t="array" ref="Y339">IFERROR(INDEX(DFD!$L$2:$L$1048790,MATCH($Q339,DFD!$B$2:$B$1048790,0)),"")</f>
        <v/>
      </c>
      <c r="Z339" s="97">
        <f t="shared" si="11"/>
        <v>45</v>
      </c>
      <c r="AA339" s="87"/>
      <c r="AB339" s="87" t="s">
        <v>78</v>
      </c>
      <c r="AC339" s="87"/>
      <c r="AD339" s="99">
        <v>46043.0</v>
      </c>
      <c r="AE339" s="100">
        <f t="shared" si="8"/>
        <v>1</v>
      </c>
    </row>
    <row r="340" ht="15.75" customHeight="1">
      <c r="A340" s="67" t="s">
        <v>1296</v>
      </c>
      <c r="B340" s="59" t="s">
        <v>427</v>
      </c>
      <c r="C340" s="60" t="s">
        <v>1297</v>
      </c>
      <c r="D340" s="60" t="s">
        <v>51</v>
      </c>
      <c r="E340" s="60">
        <v>1.0</v>
      </c>
      <c r="F340" s="101">
        <v>65000.0</v>
      </c>
      <c r="G340" s="73" t="s">
        <v>53</v>
      </c>
      <c r="H340" s="74">
        <v>46204.0</v>
      </c>
      <c r="I340" s="67" t="s">
        <v>18</v>
      </c>
      <c r="J340" s="67" t="s">
        <v>54</v>
      </c>
      <c r="K340" s="67" t="s">
        <v>429</v>
      </c>
      <c r="L340" s="67" t="s">
        <v>67</v>
      </c>
      <c r="M340" s="73" t="s">
        <v>132</v>
      </c>
      <c r="N340" s="67" t="s">
        <v>20</v>
      </c>
      <c r="O340" s="59" t="s">
        <v>69</v>
      </c>
      <c r="P340" s="59"/>
      <c r="Q340" s="59" t="s">
        <v>1298</v>
      </c>
      <c r="R340" s="76" t="s">
        <v>639</v>
      </c>
      <c r="S340" s="59"/>
      <c r="T340" s="59"/>
      <c r="U340" s="77" t="str">
        <f t="array" ref="U340">IFERROR(INDEX(DFD!$D$2:$D$1048791,MATCH($Q340,DFD!$B$2:$B$1048791,0)),"")</f>
        <v/>
      </c>
      <c r="V340" s="77" t="str">
        <f t="array" ref="V340">IFERROR(INDEX(DFD!$F$2:$F$1048791,MATCH($Q340,DFD!$B$2:$B$1048791,0)),"")</f>
        <v/>
      </c>
      <c r="W340" s="84" t="str">
        <f t="array" ref="W340">IFERROR(INDEX(DFD!$E$2:$E$1048791,MATCH($Q340,DFD!$B$2:$B$1048791,0)),"")</f>
        <v/>
      </c>
      <c r="X340" s="84" t="str">
        <f t="array" ref="X340">IFERROR(INDEX(DFD!$K$2:$K$1048791,MATCH($Q340,DFD!$B$2:$B$1048791,0)),"")</f>
        <v/>
      </c>
      <c r="Y340" s="84" t="str">
        <f t="array" ref="Y340">IFERROR(INDEX(DFD!$L$2:$L$1048790,MATCH($Q340,DFD!$B$2:$B$1048790,0)),"")</f>
        <v/>
      </c>
      <c r="Z340" s="84">
        <f t="shared" si="11"/>
        <v>45</v>
      </c>
      <c r="AA340" s="59"/>
      <c r="AB340" s="59" t="s">
        <v>78</v>
      </c>
      <c r="AC340" s="59"/>
      <c r="AD340" s="85">
        <v>46043.0</v>
      </c>
      <c r="AE340" s="86">
        <f t="shared" si="8"/>
        <v>1</v>
      </c>
    </row>
    <row r="341" ht="15.75" customHeight="1">
      <c r="A341" s="92" t="s">
        <v>1299</v>
      </c>
      <c r="B341" s="87" t="s">
        <v>49</v>
      </c>
      <c r="C341" s="88" t="s">
        <v>1300</v>
      </c>
      <c r="D341" s="88" t="s">
        <v>51</v>
      </c>
      <c r="E341" s="88">
        <v>1.0</v>
      </c>
      <c r="F341" s="89">
        <v>350000.0</v>
      </c>
      <c r="G341" s="90" t="s">
        <v>53</v>
      </c>
      <c r="H341" s="91">
        <v>46266.0</v>
      </c>
      <c r="I341" s="92" t="s">
        <v>17</v>
      </c>
      <c r="J341" s="92" t="s">
        <v>54</v>
      </c>
      <c r="K341" s="92" t="s">
        <v>55</v>
      </c>
      <c r="L341" s="92" t="s">
        <v>56</v>
      </c>
      <c r="M341" s="90" t="s">
        <v>57</v>
      </c>
      <c r="N341" s="92" t="s">
        <v>20</v>
      </c>
      <c r="O341" s="87" t="s">
        <v>69</v>
      </c>
      <c r="P341" s="87"/>
      <c r="Q341" s="87">
        <v>2025.0</v>
      </c>
      <c r="R341" s="93" t="s">
        <v>1300</v>
      </c>
      <c r="S341" s="87"/>
      <c r="T341" s="87"/>
      <c r="U341" s="94" t="s">
        <v>1301</v>
      </c>
      <c r="V341" s="94" t="s">
        <v>62</v>
      </c>
      <c r="W341" s="97" t="str">
        <f t="array" ref="W341">IFERROR(INDEX(DFD!$E$2:$E$1048791,MATCH($Q341,DFD!$B$2:$B$1048791,0)),"")</f>
        <v/>
      </c>
      <c r="X341" s="97" t="str">
        <f t="array" ref="X341">IFERROR(INDEX(DFD!$K$2:$K$1048791,MATCH($Q341,DFD!$B$2:$B$1048791,0)),"")</f>
        <v/>
      </c>
      <c r="Y341" s="97" t="str">
        <f t="array" ref="Y341">IFERROR(INDEX(DFD!$L$2:$L$1048790,MATCH($Q341,DFD!$B$2:$B$1048790,0)),"")</f>
        <v/>
      </c>
      <c r="Z341" s="97">
        <f t="shared" si="11"/>
        <v>45</v>
      </c>
      <c r="AA341" s="87"/>
      <c r="AB341" s="87" t="s">
        <v>78</v>
      </c>
      <c r="AC341" s="87"/>
      <c r="AD341" s="99">
        <v>46043.0</v>
      </c>
      <c r="AE341" s="100">
        <f t="shared" si="8"/>
        <v>1</v>
      </c>
    </row>
    <row r="342" ht="15.75" customHeight="1">
      <c r="A342" s="67" t="s">
        <v>1302</v>
      </c>
      <c r="B342" s="59" t="s">
        <v>400</v>
      </c>
      <c r="C342" s="81" t="s">
        <v>1303</v>
      </c>
      <c r="D342" s="60" t="s">
        <v>51</v>
      </c>
      <c r="E342" s="60">
        <v>1.0</v>
      </c>
      <c r="F342" s="72">
        <v>140000.0</v>
      </c>
      <c r="G342" s="73" t="s">
        <v>437</v>
      </c>
      <c r="H342" s="74">
        <v>46266.0</v>
      </c>
      <c r="I342" s="67" t="s">
        <v>17</v>
      </c>
      <c r="J342" s="67" t="s">
        <v>54</v>
      </c>
      <c r="K342" s="67" t="s">
        <v>161</v>
      </c>
      <c r="L342" s="67" t="s">
        <v>56</v>
      </c>
      <c r="M342" s="73" t="s">
        <v>1304</v>
      </c>
      <c r="N342" s="67" t="s">
        <v>20</v>
      </c>
      <c r="O342" s="67" t="s">
        <v>89</v>
      </c>
      <c r="P342" s="59"/>
      <c r="Q342" s="59" t="s">
        <v>467</v>
      </c>
      <c r="R342" s="76" t="s">
        <v>1305</v>
      </c>
      <c r="S342" s="59"/>
      <c r="T342" s="59"/>
      <c r="U342" s="77" t="str">
        <f t="array" ref="U342">IFERROR(INDEX(DFD!$D$2:$D$1048791,MATCH($Q342,DFD!$B$2:$B$1048791,0)),"")</f>
        <v/>
      </c>
      <c r="V342" s="77" t="str">
        <f t="array" ref="V342">IFERROR(INDEX(DFD!$F$2:$F$1048791,MATCH($Q342,DFD!$B$2:$B$1048791,0)),"")</f>
        <v/>
      </c>
      <c r="W342" s="84" t="str">
        <f t="array" ref="W342">IFERROR(INDEX(DFD!$E$2:$E$1048791,MATCH($Q342,DFD!$B$2:$B$1048791,0)),"")</f>
        <v/>
      </c>
      <c r="X342" s="84" t="str">
        <f t="array" ref="X342">IFERROR(INDEX(DFD!$K$2:$K$1048791,MATCH($Q342,DFD!$B$2:$B$1048791,0)),"")</f>
        <v/>
      </c>
      <c r="Y342" s="84" t="str">
        <f t="array" ref="Y342">IFERROR(INDEX(DFD!$L$2:$L$1048790,MATCH($Q342,DFD!$B$2:$B$1048790,0)),"")</f>
        <v/>
      </c>
      <c r="Z342" s="84">
        <f t="shared" si="11"/>
        <v>45</v>
      </c>
      <c r="AA342" s="59"/>
      <c r="AB342" s="59" t="s">
        <v>288</v>
      </c>
      <c r="AC342" s="59"/>
      <c r="AD342" s="85">
        <v>46043.0</v>
      </c>
      <c r="AE342" s="86">
        <f t="shared" si="8"/>
        <v>1</v>
      </c>
    </row>
    <row r="343" ht="15.75" customHeight="1">
      <c r="A343" s="87" t="s">
        <v>1306</v>
      </c>
      <c r="B343" s="87" t="s">
        <v>400</v>
      </c>
      <c r="C343" s="88" t="s">
        <v>1307</v>
      </c>
      <c r="D343" s="88" t="s">
        <v>1308</v>
      </c>
      <c r="E343" s="88">
        <v>12.0</v>
      </c>
      <c r="F343" s="89">
        <v>600000.0</v>
      </c>
      <c r="G343" s="90" t="s">
        <v>437</v>
      </c>
      <c r="H343" s="91">
        <v>46266.0</v>
      </c>
      <c r="I343" s="92" t="s">
        <v>17</v>
      </c>
      <c r="J343" s="92" t="s">
        <v>54</v>
      </c>
      <c r="K343" s="92" t="s">
        <v>161</v>
      </c>
      <c r="L343" s="92" t="s">
        <v>56</v>
      </c>
      <c r="M343" s="90" t="s">
        <v>132</v>
      </c>
      <c r="N343" s="92" t="s">
        <v>58</v>
      </c>
      <c r="O343" s="87" t="s">
        <v>69</v>
      </c>
      <c r="P343" s="87"/>
      <c r="Q343" s="87" t="s">
        <v>467</v>
      </c>
      <c r="R343" s="93" t="s">
        <v>1307</v>
      </c>
      <c r="S343" s="87"/>
      <c r="T343" s="87"/>
      <c r="U343" s="94" t="str">
        <f t="array" ref="U343">IFERROR(INDEX(DFD!$D$2:$D$1048791,MATCH($Q343,DFD!$B$2:$B$1048791,0)),"")</f>
        <v/>
      </c>
      <c r="V343" s="94" t="str">
        <f t="array" ref="V343">IFERROR(INDEX(DFD!$F$2:$F$1048791,MATCH($Q343,DFD!$B$2:$B$1048791,0)),"")</f>
        <v/>
      </c>
      <c r="W343" s="97" t="str">
        <f t="array" ref="W343">IFERROR(INDEX(DFD!$E$2:$E$1048791,MATCH($Q343,DFD!$B$2:$B$1048791,0)),"")</f>
        <v/>
      </c>
      <c r="X343" s="97" t="str">
        <f t="array" ref="X343">IFERROR(INDEX(DFD!$K$2:$K$1048791,MATCH($Q343,DFD!$B$2:$B$1048791,0)),"")</f>
        <v/>
      </c>
      <c r="Y343" s="97" t="str">
        <f t="array" ref="Y343">IFERROR(INDEX(DFD!$L$2:$L$1048790,MATCH($Q343,DFD!$B$2:$B$1048790,0)),"")</f>
        <v/>
      </c>
      <c r="Z343" s="97">
        <f t="shared" si="11"/>
        <v>45</v>
      </c>
      <c r="AA343" s="87"/>
      <c r="AB343" s="87" t="s">
        <v>288</v>
      </c>
      <c r="AC343" s="87"/>
      <c r="AD343" s="99">
        <v>46043.0</v>
      </c>
      <c r="AE343" s="100">
        <f t="shared" si="8"/>
        <v>1</v>
      </c>
    </row>
    <row r="344" ht="15.75" customHeight="1">
      <c r="A344" s="67" t="s">
        <v>1309</v>
      </c>
      <c r="B344" s="67" t="s">
        <v>49</v>
      </c>
      <c r="C344" s="60" t="s">
        <v>1310</v>
      </c>
      <c r="D344" s="81" t="s">
        <v>51</v>
      </c>
      <c r="E344" s="81">
        <v>1.0</v>
      </c>
      <c r="F344" s="101">
        <v>50000.0</v>
      </c>
      <c r="G344" s="73" t="s">
        <v>53</v>
      </c>
      <c r="H344" s="83">
        <v>46266.0</v>
      </c>
      <c r="I344" s="67" t="s">
        <v>17</v>
      </c>
      <c r="J344" s="67" t="s">
        <v>54</v>
      </c>
      <c r="K344" s="67" t="s">
        <v>55</v>
      </c>
      <c r="L344" s="67" t="s">
        <v>56</v>
      </c>
      <c r="M344" s="73" t="s">
        <v>117</v>
      </c>
      <c r="N344" s="67" t="s">
        <v>20</v>
      </c>
      <c r="O344" s="59" t="s">
        <v>69</v>
      </c>
      <c r="P344" s="59"/>
      <c r="Q344" s="59" t="s">
        <v>1311</v>
      </c>
      <c r="R344" s="76" t="s">
        <v>1310</v>
      </c>
      <c r="S344" s="59"/>
      <c r="T344" s="59"/>
      <c r="U344" s="77" t="str">
        <f t="array" ref="U344">IFERROR(INDEX(DFD!$D$2:$D$1048791,MATCH($Q344,DFD!$B$2:$B$1048791,0)),"")</f>
        <v/>
      </c>
      <c r="V344" s="77" t="s">
        <v>62</v>
      </c>
      <c r="W344" s="84" t="str">
        <f t="array" ref="W344">IFERROR(INDEX(DFD!$E$2:$E$1048791,MATCH($Q344,DFD!$B$2:$B$1048791,0)),"")</f>
        <v/>
      </c>
      <c r="X344" s="84" t="str">
        <f t="array" ref="X344">IFERROR(INDEX(DFD!$K$2:$K$1048791,MATCH($Q344,DFD!$B$2:$B$1048791,0)),"")</f>
        <v/>
      </c>
      <c r="Y344" s="84" t="str">
        <f t="array" ref="Y344">IFERROR(INDEX(DFD!$L$2:$L$1048790,MATCH($Q344,DFD!$B$2:$B$1048790,0)),"")</f>
        <v/>
      </c>
      <c r="Z344" s="84">
        <f t="shared" si="11"/>
        <v>45</v>
      </c>
      <c r="AA344" s="59"/>
      <c r="AB344" s="59" t="s">
        <v>78</v>
      </c>
      <c r="AC344" s="59"/>
      <c r="AD344" s="85">
        <v>46043.0</v>
      </c>
      <c r="AE344" s="86">
        <f t="shared" si="8"/>
        <v>1</v>
      </c>
    </row>
    <row r="345" ht="15.75" customHeight="1">
      <c r="A345" s="87" t="s">
        <v>1312</v>
      </c>
      <c r="B345" s="87" t="s">
        <v>136</v>
      </c>
      <c r="C345" s="88" t="s">
        <v>1313</v>
      </c>
      <c r="D345" s="88" t="s">
        <v>1314</v>
      </c>
      <c r="E345" s="88">
        <v>330.0</v>
      </c>
      <c r="F345" s="89">
        <v>9900.0</v>
      </c>
      <c r="G345" s="90" t="s">
        <v>53</v>
      </c>
      <c r="H345" s="91">
        <v>46204.0</v>
      </c>
      <c r="I345" s="92" t="s">
        <v>17</v>
      </c>
      <c r="J345" s="92" t="s">
        <v>54</v>
      </c>
      <c r="K345" s="92" t="s">
        <v>55</v>
      </c>
      <c r="L345" s="92" t="s">
        <v>67</v>
      </c>
      <c r="M345" s="90" t="s">
        <v>68</v>
      </c>
      <c r="N345" s="92" t="s">
        <v>5</v>
      </c>
      <c r="O345" s="92" t="s">
        <v>89</v>
      </c>
      <c r="P345" s="87"/>
      <c r="Q345" s="87" t="s">
        <v>1074</v>
      </c>
      <c r="R345" s="93" t="s">
        <v>1075</v>
      </c>
      <c r="S345" s="87"/>
      <c r="T345" s="87"/>
      <c r="U345" s="94" t="str">
        <f t="array" ref="U345">IFERROR(INDEX(DFD!$D$2:$D$1048791,MATCH($Q345,DFD!$B$2:$B$1048791,0)),"")</f>
        <v/>
      </c>
      <c r="V345" s="94" t="str">
        <f t="array" ref="V345">IFERROR(INDEX(DFD!$F$2:$F$1048791,MATCH($Q345,DFD!$B$2:$B$1048791,0)),"")</f>
        <v/>
      </c>
      <c r="W345" s="97" t="str">
        <f t="array" ref="W345">IFERROR(INDEX(DFD!$E$2:$E$1048791,MATCH($Q345,DFD!$B$2:$B$1048791,0)),"")</f>
        <v/>
      </c>
      <c r="X345" s="97" t="str">
        <f t="array" ref="X345">IFERROR(INDEX(DFD!$K$2:$K$1048791,MATCH($Q345,DFD!$B$2:$B$1048791,0)),"")</f>
        <v/>
      </c>
      <c r="Y345" s="97" t="str">
        <f t="array" ref="Y345">IFERROR(INDEX(DFD!$L$2:$L$1048790,MATCH($Q345,DFD!$B$2:$B$1048790,0)),"")</f>
        <v/>
      </c>
      <c r="Z345" s="97">
        <f t="shared" si="11"/>
        <v>45</v>
      </c>
      <c r="AA345" s="87"/>
      <c r="AB345" s="87" t="s">
        <v>78</v>
      </c>
      <c r="AC345" s="87"/>
      <c r="AD345" s="99">
        <v>46043.0</v>
      </c>
      <c r="AE345" s="100">
        <f t="shared" si="8"/>
        <v>1</v>
      </c>
    </row>
    <row r="346" ht="15.75" customHeight="1">
      <c r="A346" s="67" t="s">
        <v>1315</v>
      </c>
      <c r="B346" s="59" t="s">
        <v>464</v>
      </c>
      <c r="C346" s="60" t="s">
        <v>1316</v>
      </c>
      <c r="D346" s="60" t="s">
        <v>51</v>
      </c>
      <c r="E346" s="60">
        <v>1.0</v>
      </c>
      <c r="F346" s="72">
        <v>120000.0</v>
      </c>
      <c r="G346" s="73" t="s">
        <v>53</v>
      </c>
      <c r="H346" s="74">
        <v>46266.0</v>
      </c>
      <c r="I346" s="67" t="s">
        <v>17</v>
      </c>
      <c r="J346" s="67" t="s">
        <v>54</v>
      </c>
      <c r="K346" s="67" t="s">
        <v>66</v>
      </c>
      <c r="L346" s="67" t="s">
        <v>56</v>
      </c>
      <c r="M346" s="73" t="s">
        <v>132</v>
      </c>
      <c r="N346" s="67" t="s">
        <v>20</v>
      </c>
      <c r="O346" s="59" t="s">
        <v>69</v>
      </c>
      <c r="P346" s="59"/>
      <c r="Q346" s="59" t="s">
        <v>1317</v>
      </c>
      <c r="R346" s="76" t="s">
        <v>1318</v>
      </c>
      <c r="S346" s="59"/>
      <c r="T346" s="59"/>
      <c r="U346" s="77" t="str">
        <f t="array" ref="U346">IFERROR(INDEX(DFD!$D$2:$D$1048791,MATCH($Q346,DFD!$B$2:$B$1048791,0)),"")</f>
        <v/>
      </c>
      <c r="V346" s="77" t="str">
        <f t="array" ref="V346">IFERROR(INDEX(DFD!$F$2:$F$1048791,MATCH($Q346,DFD!$B$2:$B$1048791,0)),"")</f>
        <v/>
      </c>
      <c r="W346" s="84" t="str">
        <f t="array" ref="W346">IFERROR(INDEX(DFD!$E$2:$E$1048791,MATCH($Q346,DFD!$B$2:$B$1048791,0)),"")</f>
        <v/>
      </c>
      <c r="X346" s="84" t="str">
        <f t="array" ref="X346">IFERROR(INDEX(DFD!$K$2:$K$1048791,MATCH($Q346,DFD!$B$2:$B$1048791,0)),"")</f>
        <v/>
      </c>
      <c r="Y346" s="84" t="str">
        <f t="array" ref="Y346">IFERROR(INDEX(DFD!$L$2:$L$1048790,MATCH($Q346,DFD!$B$2:$B$1048790,0)),"")</f>
        <v/>
      </c>
      <c r="Z346" s="84">
        <f t="shared" si="11"/>
        <v>45</v>
      </c>
      <c r="AA346" s="59"/>
      <c r="AB346" s="59" t="s">
        <v>72</v>
      </c>
      <c r="AC346" s="59"/>
      <c r="AD346" s="85">
        <v>46043.0</v>
      </c>
      <c r="AE346" s="86">
        <f t="shared" si="8"/>
        <v>1</v>
      </c>
    </row>
    <row r="347" ht="15.75" customHeight="1">
      <c r="A347" s="92" t="s">
        <v>1319</v>
      </c>
      <c r="B347" s="71" t="s">
        <v>464</v>
      </c>
      <c r="C347" s="116" t="s">
        <v>1320</v>
      </c>
      <c r="D347" s="88" t="s">
        <v>51</v>
      </c>
      <c r="E347" s="88">
        <v>1.0</v>
      </c>
      <c r="F347" s="89">
        <v>3600000.0</v>
      </c>
      <c r="G347" s="90" t="s">
        <v>437</v>
      </c>
      <c r="H347" s="91">
        <v>46266.0</v>
      </c>
      <c r="I347" s="92" t="s">
        <v>17</v>
      </c>
      <c r="J347" s="92" t="s">
        <v>54</v>
      </c>
      <c r="K347" s="92" t="s">
        <v>66</v>
      </c>
      <c r="L347" s="92" t="s">
        <v>56</v>
      </c>
      <c r="M347" s="90" t="s">
        <v>1321</v>
      </c>
      <c r="N347" s="92" t="s">
        <v>20</v>
      </c>
      <c r="O347" s="87" t="s">
        <v>69</v>
      </c>
      <c r="P347" s="87"/>
      <c r="Q347" s="87" t="s">
        <v>1322</v>
      </c>
      <c r="R347" s="93" t="s">
        <v>1318</v>
      </c>
      <c r="S347" s="87"/>
      <c r="T347" s="87"/>
      <c r="U347" s="94" t="str">
        <f t="array" ref="U347">IFERROR(INDEX(DFD!$D$2:$D$1048791,MATCH($Q347,DFD!$B$2:$B$1048791,0)),"")</f>
        <v/>
      </c>
      <c r="V347" s="94" t="str">
        <f t="array" ref="V347">IFERROR(INDEX(DFD!$F$2:$F$1048791,MATCH($Q347,DFD!$B$2:$B$1048791,0)),"")</f>
        <v/>
      </c>
      <c r="W347" s="97" t="str">
        <f t="array" ref="W347">IFERROR(INDEX(DFD!$E$2:$E$1048791,MATCH($Q347,DFD!$B$2:$B$1048791,0)),"")</f>
        <v/>
      </c>
      <c r="X347" s="97" t="str">
        <f t="array" ref="X347">IFERROR(INDEX(DFD!$K$2:$K$1048791,MATCH($Q347,DFD!$B$2:$B$1048791,0)),"")</f>
        <v/>
      </c>
      <c r="Y347" s="97" t="str">
        <f t="array" ref="Y347">IFERROR(INDEX(DFD!$L$2:$L$1048790,MATCH($Q347,DFD!$B$2:$B$1048790,0)),"")</f>
        <v/>
      </c>
      <c r="Z347" s="97">
        <f t="shared" si="11"/>
        <v>45</v>
      </c>
      <c r="AA347" s="87"/>
      <c r="AB347" s="87" t="s">
        <v>288</v>
      </c>
      <c r="AC347" s="87" t="s">
        <v>1323</v>
      </c>
      <c r="AD347" s="99">
        <v>46043.0</v>
      </c>
      <c r="AE347" s="100">
        <f t="shared" si="8"/>
        <v>1</v>
      </c>
    </row>
    <row r="348" ht="15.75" customHeight="1">
      <c r="A348" s="67" t="s">
        <v>1324</v>
      </c>
      <c r="B348" s="59" t="s">
        <v>184</v>
      </c>
      <c r="C348" s="60" t="s">
        <v>1325</v>
      </c>
      <c r="D348" s="60" t="s">
        <v>1326</v>
      </c>
      <c r="E348" s="60">
        <v>600.0</v>
      </c>
      <c r="F348" s="72">
        <v>5646.0</v>
      </c>
      <c r="G348" s="73" t="s">
        <v>53</v>
      </c>
      <c r="H348" s="74">
        <v>46204.0</v>
      </c>
      <c r="I348" s="67" t="s">
        <v>17</v>
      </c>
      <c r="J348" s="67" t="s">
        <v>54</v>
      </c>
      <c r="K348" s="67" t="s">
        <v>66</v>
      </c>
      <c r="L348" s="67" t="s">
        <v>67</v>
      </c>
      <c r="M348" s="73" t="s">
        <v>112</v>
      </c>
      <c r="N348" s="67" t="s">
        <v>20</v>
      </c>
      <c r="O348" s="67" t="s">
        <v>89</v>
      </c>
      <c r="P348" s="59"/>
      <c r="Q348" s="59" t="s">
        <v>576</v>
      </c>
      <c r="R348" s="76" t="s">
        <v>577</v>
      </c>
      <c r="S348" s="59"/>
      <c r="T348" s="59"/>
      <c r="U348" s="77" t="str">
        <f t="array" ref="U348">IFERROR(INDEX(DFD!$D$2:$D$1048791,MATCH($Q348,DFD!$B$2:$B$1048791,0)),"")</f>
        <v/>
      </c>
      <c r="V348" s="77" t="s">
        <v>280</v>
      </c>
      <c r="W348" s="84" t="str">
        <f t="array" ref="W348">IFERROR(INDEX(DFD!$E$2:$E$1048791,MATCH($Q348,DFD!$B$2:$B$1048791,0)),"")</f>
        <v/>
      </c>
      <c r="X348" s="84" t="str">
        <f t="array" ref="X348">IFERROR(INDEX(DFD!$K$2:$K$1048791,MATCH($Q348,DFD!$B$2:$B$1048791,0)),"")</f>
        <v/>
      </c>
      <c r="Y348" s="84" t="str">
        <f t="array" ref="Y348">IFERROR(INDEX(DFD!$L$2:$L$1048790,MATCH($Q348,DFD!$B$2:$B$1048790,0)),"")</f>
        <v/>
      </c>
      <c r="Z348" s="84">
        <f t="shared" si="11"/>
        <v>45</v>
      </c>
      <c r="AA348" s="59"/>
      <c r="AB348" s="59" t="s">
        <v>78</v>
      </c>
      <c r="AC348" s="59"/>
      <c r="AD348" s="85">
        <v>46043.0</v>
      </c>
      <c r="AE348" s="86">
        <f t="shared" si="8"/>
        <v>1</v>
      </c>
    </row>
    <row r="349" ht="15.75" customHeight="1">
      <c r="A349" s="92" t="s">
        <v>1327</v>
      </c>
      <c r="B349" s="87" t="s">
        <v>184</v>
      </c>
      <c r="C349" s="88" t="s">
        <v>1328</v>
      </c>
      <c r="D349" s="88" t="s">
        <v>1326</v>
      </c>
      <c r="E349" s="88">
        <v>200.0</v>
      </c>
      <c r="F349" s="89">
        <v>720.0</v>
      </c>
      <c r="G349" s="90" t="s">
        <v>53</v>
      </c>
      <c r="H349" s="91">
        <v>46174.0</v>
      </c>
      <c r="I349" s="92" t="s">
        <v>17</v>
      </c>
      <c r="J349" s="92" t="s">
        <v>54</v>
      </c>
      <c r="K349" s="92" t="s">
        <v>66</v>
      </c>
      <c r="L349" s="92" t="s">
        <v>67</v>
      </c>
      <c r="M349" s="90" t="s">
        <v>117</v>
      </c>
      <c r="N349" s="92" t="s">
        <v>20</v>
      </c>
      <c r="O349" s="87" t="s">
        <v>69</v>
      </c>
      <c r="P349" s="87"/>
      <c r="Q349" s="87" t="s">
        <v>576</v>
      </c>
      <c r="R349" s="93" t="s">
        <v>577</v>
      </c>
      <c r="S349" s="87"/>
      <c r="T349" s="87"/>
      <c r="U349" s="94" t="str">
        <f t="array" ref="U349">IFERROR(INDEX(DFD!$D$2:$D$1048791,MATCH($Q349,DFD!$B$2:$B$1048791,0)),"")</f>
        <v/>
      </c>
      <c r="V349" s="94" t="s">
        <v>280</v>
      </c>
      <c r="W349" s="97" t="str">
        <f t="array" ref="W349">IFERROR(INDEX(DFD!$E$2:$E$1048791,MATCH($Q349,DFD!$B$2:$B$1048791,0)),"")</f>
        <v/>
      </c>
      <c r="X349" s="97" t="str">
        <f t="array" ref="X349">IFERROR(INDEX(DFD!$K$2:$K$1048791,MATCH($Q349,DFD!$B$2:$B$1048791,0)),"")</f>
        <v/>
      </c>
      <c r="Y349" s="97" t="str">
        <f t="array" ref="Y349">IFERROR(INDEX(DFD!$L$2:$L$1048790,MATCH($Q349,DFD!$B$2:$B$1048790,0)),"")</f>
        <v/>
      </c>
      <c r="Z349" s="97">
        <f t="shared" si="11"/>
        <v>45</v>
      </c>
      <c r="AA349" s="87"/>
      <c r="AB349" s="87" t="s">
        <v>78</v>
      </c>
      <c r="AC349" s="87"/>
      <c r="AD349" s="99">
        <v>46043.0</v>
      </c>
      <c r="AE349" s="100">
        <f t="shared" si="8"/>
        <v>1</v>
      </c>
    </row>
    <row r="350" ht="15.75" customHeight="1">
      <c r="A350" s="59" t="s">
        <v>1329</v>
      </c>
      <c r="B350" s="59" t="s">
        <v>148</v>
      </c>
      <c r="C350" s="60" t="s">
        <v>1330</v>
      </c>
      <c r="D350" s="60" t="s">
        <v>51</v>
      </c>
      <c r="E350" s="60">
        <v>12.0</v>
      </c>
      <c r="F350" s="72">
        <v>120.0</v>
      </c>
      <c r="G350" s="73" t="s">
        <v>53</v>
      </c>
      <c r="H350" s="74">
        <v>46143.0</v>
      </c>
      <c r="I350" s="67" t="s">
        <v>17</v>
      </c>
      <c r="J350" s="67" t="s">
        <v>54</v>
      </c>
      <c r="K350" s="67" t="s">
        <v>66</v>
      </c>
      <c r="L350" s="67" t="s">
        <v>67</v>
      </c>
      <c r="M350" s="73" t="s">
        <v>132</v>
      </c>
      <c r="N350" s="67" t="s">
        <v>5</v>
      </c>
      <c r="O350" s="59" t="s">
        <v>69</v>
      </c>
      <c r="P350" s="59"/>
      <c r="Q350" s="59" t="s">
        <v>576</v>
      </c>
      <c r="R350" s="76" t="s">
        <v>577</v>
      </c>
      <c r="S350" s="59"/>
      <c r="T350" s="59"/>
      <c r="U350" s="77" t="str">
        <f t="array" ref="U350">IFERROR(INDEX(DFD!$D$2:$D$1048791,MATCH($Q350,DFD!$B$2:$B$1048791,0)),"")</f>
        <v/>
      </c>
      <c r="V350" s="77" t="s">
        <v>280</v>
      </c>
      <c r="W350" s="84" t="str">
        <f t="array" ref="W350">IFERROR(INDEX(DFD!$E$2:$E$1048791,MATCH($Q350,DFD!$B$2:$B$1048791,0)),"")</f>
        <v/>
      </c>
      <c r="X350" s="84" t="str">
        <f t="array" ref="X350">IFERROR(INDEX(DFD!$K$2:$K$1048791,MATCH($Q350,DFD!$B$2:$B$1048791,0)),"")</f>
        <v/>
      </c>
      <c r="Y350" s="84" t="str">
        <f t="array" ref="Y350">IFERROR(INDEX(DFD!$L$2:$L$1048790,MATCH($Q350,DFD!$B$2:$B$1048790,0)),"")</f>
        <v/>
      </c>
      <c r="Z350" s="84">
        <f t="shared" si="11"/>
        <v>45</v>
      </c>
      <c r="AA350" s="59"/>
      <c r="AB350" s="59" t="s">
        <v>78</v>
      </c>
      <c r="AC350" s="59"/>
      <c r="AD350" s="85">
        <v>46043.0</v>
      </c>
      <c r="AE350" s="86">
        <f t="shared" si="8"/>
        <v>1</v>
      </c>
    </row>
    <row r="351" ht="15.75" customHeight="1">
      <c r="A351" s="92" t="s">
        <v>1331</v>
      </c>
      <c r="B351" s="87" t="s">
        <v>174</v>
      </c>
      <c r="C351" s="88" t="s">
        <v>1332</v>
      </c>
      <c r="D351" s="88" t="s">
        <v>51</v>
      </c>
      <c r="E351" s="88">
        <v>10.0</v>
      </c>
      <c r="F351" s="89">
        <v>1000.0</v>
      </c>
      <c r="G351" s="90" t="s">
        <v>53</v>
      </c>
      <c r="H351" s="91">
        <v>46174.0</v>
      </c>
      <c r="I351" s="92" t="s">
        <v>17</v>
      </c>
      <c r="J351" s="92" t="s">
        <v>54</v>
      </c>
      <c r="K351" s="92" t="s">
        <v>66</v>
      </c>
      <c r="L351" s="92" t="s">
        <v>56</v>
      </c>
      <c r="M351" s="90" t="s">
        <v>132</v>
      </c>
      <c r="N351" s="92" t="s">
        <v>20</v>
      </c>
      <c r="O351" s="92" t="s">
        <v>89</v>
      </c>
      <c r="P351" s="87"/>
      <c r="Q351" s="87" t="s">
        <v>176</v>
      </c>
      <c r="R351" s="93" t="s">
        <v>402</v>
      </c>
      <c r="S351" s="87"/>
      <c r="T351" s="87"/>
      <c r="U351" s="94" t="str">
        <f t="array" ref="U351">IFERROR(INDEX(DFD!$D$2:$D$1048791,MATCH($Q351,DFD!$B$2:$B$1048791,0)),"")</f>
        <v/>
      </c>
      <c r="V351" s="94" t="str">
        <f t="array" ref="V351">IFERROR(INDEX(DFD!$F$2:$F$1048791,MATCH($Q351,DFD!$B$2:$B$1048791,0)),"")</f>
        <v/>
      </c>
      <c r="W351" s="97" t="str">
        <f t="array" ref="W351">IFERROR(INDEX(DFD!$E$2:$E$1048791,MATCH($Q351,DFD!$B$2:$B$1048791,0)),"")</f>
        <v/>
      </c>
      <c r="X351" s="97" t="str">
        <f t="array" ref="X351">IFERROR(INDEX(DFD!$K$2:$K$1048791,MATCH($Q351,DFD!$B$2:$B$1048791,0)),"")</f>
        <v/>
      </c>
      <c r="Y351" s="97" t="str">
        <f t="array" ref="Y351">IFERROR(INDEX(DFD!$L$2:$L$1048790,MATCH($Q351,DFD!$B$2:$B$1048790,0)),"")</f>
        <v/>
      </c>
      <c r="Z351" s="97">
        <f t="shared" si="11"/>
        <v>45</v>
      </c>
      <c r="AA351" s="87"/>
      <c r="AB351" s="87" t="s">
        <v>78</v>
      </c>
      <c r="AC351" s="87"/>
      <c r="AD351" s="99">
        <v>46043.0</v>
      </c>
      <c r="AE351" s="100">
        <f t="shared" si="8"/>
        <v>1</v>
      </c>
    </row>
    <row r="352" ht="15.75" customHeight="1">
      <c r="A352" s="59" t="s">
        <v>1333</v>
      </c>
      <c r="B352" s="59" t="s">
        <v>355</v>
      </c>
      <c r="C352" s="60" t="s">
        <v>883</v>
      </c>
      <c r="D352" s="60" t="s">
        <v>749</v>
      </c>
      <c r="E352" s="60">
        <v>300.0</v>
      </c>
      <c r="F352" s="72">
        <v>9000.0</v>
      </c>
      <c r="G352" s="73" t="s">
        <v>53</v>
      </c>
      <c r="H352" s="74">
        <v>46204.0</v>
      </c>
      <c r="I352" s="67" t="s">
        <v>17</v>
      </c>
      <c r="J352" s="67" t="s">
        <v>54</v>
      </c>
      <c r="K352" s="67" t="s">
        <v>66</v>
      </c>
      <c r="L352" s="67" t="s">
        <v>56</v>
      </c>
      <c r="M352" s="73" t="s">
        <v>167</v>
      </c>
      <c r="N352" s="67" t="s">
        <v>58</v>
      </c>
      <c r="O352" s="59" t="s">
        <v>69</v>
      </c>
      <c r="P352" s="59"/>
      <c r="Q352" s="59" t="s">
        <v>52</v>
      </c>
      <c r="R352" s="76" t="s">
        <v>71</v>
      </c>
      <c r="S352" s="59"/>
      <c r="T352" s="59"/>
      <c r="U352" s="77" t="str">
        <f t="array" ref="U352">IFERROR(INDEX(DFD!$D$2:$D$1048791,MATCH($Q352,DFD!$B$2:$B$1048791,0)),"")</f>
        <v/>
      </c>
      <c r="V352" s="77" t="str">
        <f t="array" ref="V352">IFERROR(INDEX(DFD!$F$2:$F$1048791,MATCH($Q352,DFD!$B$2:$B$1048791,0)),"")</f>
        <v/>
      </c>
      <c r="W352" s="84" t="str">
        <f t="array" ref="W352">IFERROR(INDEX(DFD!$E$2:$E$1048791,MATCH($Q352,DFD!$B$2:$B$1048791,0)),"")</f>
        <v/>
      </c>
      <c r="X352" s="84" t="str">
        <f t="array" ref="X352">IFERROR(INDEX(DFD!$K$2:$K$1048791,MATCH($Q352,DFD!$B$2:$B$1048791,0)),"")</f>
        <v/>
      </c>
      <c r="Y352" s="84" t="str">
        <f t="array" ref="Y352">IFERROR(INDEX(DFD!$L$2:$L$1048790,MATCH($Q352,DFD!$B$2:$B$1048790,0)),"")</f>
        <v/>
      </c>
      <c r="Z352" s="84">
        <f t="shared" si="11"/>
        <v>45</v>
      </c>
      <c r="AA352" s="59"/>
      <c r="AB352" s="59" t="s">
        <v>72</v>
      </c>
      <c r="AC352" s="59"/>
      <c r="AD352" s="85">
        <v>46043.0</v>
      </c>
      <c r="AE352" s="86">
        <f t="shared" si="8"/>
        <v>1</v>
      </c>
    </row>
    <row r="353" ht="15.75" customHeight="1">
      <c r="A353" s="87" t="s">
        <v>1334</v>
      </c>
      <c r="B353" s="87" t="s">
        <v>101</v>
      </c>
      <c r="C353" s="88" t="s">
        <v>1335</v>
      </c>
      <c r="D353" s="88" t="s">
        <v>51</v>
      </c>
      <c r="E353" s="88">
        <v>10.0</v>
      </c>
      <c r="F353" s="89">
        <v>15000.0</v>
      </c>
      <c r="G353" s="90" t="s">
        <v>53</v>
      </c>
      <c r="H353" s="91">
        <v>46235.0</v>
      </c>
      <c r="I353" s="92" t="s">
        <v>17</v>
      </c>
      <c r="J353" s="92" t="s">
        <v>54</v>
      </c>
      <c r="K353" s="92" t="s">
        <v>66</v>
      </c>
      <c r="L353" s="92" t="s">
        <v>56</v>
      </c>
      <c r="M353" s="90" t="s">
        <v>112</v>
      </c>
      <c r="N353" s="92" t="s">
        <v>58</v>
      </c>
      <c r="O353" s="87" t="s">
        <v>69</v>
      </c>
      <c r="P353" s="87"/>
      <c r="Q353" s="87" t="s">
        <v>756</v>
      </c>
      <c r="R353" s="93" t="s">
        <v>71</v>
      </c>
      <c r="S353" s="87"/>
      <c r="T353" s="87"/>
      <c r="U353" s="94" t="str">
        <f t="array" ref="U353">IFERROR(INDEX(DFD!$D$2:$D$1048791,MATCH($Q353,DFD!$B$2:$B$1048791,0)),"")</f>
        <v/>
      </c>
      <c r="V353" s="94" t="str">
        <f t="array" ref="V353">IFERROR(INDEX(DFD!$F$2:$F$1048791,MATCH($Q353,DFD!$B$2:$B$1048791,0)),"")</f>
        <v/>
      </c>
      <c r="W353" s="97" t="str">
        <f t="array" ref="W353">IFERROR(INDEX(DFD!$E$2:$E$1048791,MATCH($Q353,DFD!$B$2:$B$1048791,0)),"")</f>
        <v/>
      </c>
      <c r="X353" s="97" t="str">
        <f t="array" ref="X353">IFERROR(INDEX(DFD!$K$2:$K$1048791,MATCH($Q353,DFD!$B$2:$B$1048791,0)),"")</f>
        <v/>
      </c>
      <c r="Y353" s="97" t="str">
        <f t="array" ref="Y353">IFERROR(INDEX(DFD!$L$2:$L$1048790,MATCH($Q353,DFD!$B$2:$B$1048790,0)),"")</f>
        <v/>
      </c>
      <c r="Z353" s="97">
        <f t="shared" si="11"/>
        <v>45</v>
      </c>
      <c r="AA353" s="87"/>
      <c r="AB353" s="87" t="s">
        <v>78</v>
      </c>
      <c r="AC353" s="87"/>
      <c r="AD353" s="99">
        <v>46043.0</v>
      </c>
      <c r="AE353" s="100">
        <f t="shared" si="8"/>
        <v>1</v>
      </c>
    </row>
    <row r="354" ht="15.75" customHeight="1">
      <c r="A354" s="59" t="s">
        <v>1336</v>
      </c>
      <c r="B354" s="59" t="s">
        <v>95</v>
      </c>
      <c r="C354" s="60" t="s">
        <v>1335</v>
      </c>
      <c r="D354" s="60" t="s">
        <v>51</v>
      </c>
      <c r="E354" s="60">
        <v>2.0</v>
      </c>
      <c r="F354" s="72">
        <v>3000.0</v>
      </c>
      <c r="G354" s="73" t="s">
        <v>53</v>
      </c>
      <c r="H354" s="74">
        <v>46174.0</v>
      </c>
      <c r="I354" s="67" t="s">
        <v>17</v>
      </c>
      <c r="J354" s="67" t="s">
        <v>54</v>
      </c>
      <c r="K354" s="67" t="s">
        <v>66</v>
      </c>
      <c r="L354" s="67" t="s">
        <v>67</v>
      </c>
      <c r="M354" s="73" t="s">
        <v>132</v>
      </c>
      <c r="N354" s="67" t="s">
        <v>58</v>
      </c>
      <c r="O354" s="67" t="s">
        <v>89</v>
      </c>
      <c r="P354" s="59"/>
      <c r="Q354" s="59" t="s">
        <v>756</v>
      </c>
      <c r="R354" s="76" t="s">
        <v>71</v>
      </c>
      <c r="S354" s="59"/>
      <c r="T354" s="59"/>
      <c r="U354" s="77" t="str">
        <f t="array" ref="U354">IFERROR(INDEX(DFD!$D$2:$D$1048791,MATCH($Q354,DFD!$B$2:$B$1048791,0)),"")</f>
        <v/>
      </c>
      <c r="V354" s="77" t="str">
        <f t="array" ref="V354">IFERROR(INDEX(DFD!$F$2:$F$1048791,MATCH($Q354,DFD!$B$2:$B$1048791,0)),"")</f>
        <v/>
      </c>
      <c r="W354" s="84" t="str">
        <f t="array" ref="W354">IFERROR(INDEX(DFD!$E$2:$E$1048791,MATCH($Q354,DFD!$B$2:$B$1048791,0)),"")</f>
        <v/>
      </c>
      <c r="X354" s="84" t="str">
        <f t="array" ref="X354">IFERROR(INDEX(DFD!$K$2:$K$1048791,MATCH($Q354,DFD!$B$2:$B$1048791,0)),"")</f>
        <v/>
      </c>
      <c r="Y354" s="84" t="str">
        <f t="array" ref="Y354">IFERROR(INDEX(DFD!$L$2:$L$1048790,MATCH($Q354,DFD!$B$2:$B$1048790,0)),"")</f>
        <v/>
      </c>
      <c r="Z354" s="84">
        <f t="shared" si="11"/>
        <v>45</v>
      </c>
      <c r="AA354" s="59"/>
      <c r="AB354" s="59" t="s">
        <v>78</v>
      </c>
      <c r="AC354" s="59"/>
      <c r="AD354" s="85">
        <v>46043.0</v>
      </c>
      <c r="AE354" s="86">
        <f t="shared" si="8"/>
        <v>1</v>
      </c>
    </row>
    <row r="355" ht="15.75" customHeight="1">
      <c r="A355" s="87" t="s">
        <v>1337</v>
      </c>
      <c r="B355" s="87" t="s">
        <v>94</v>
      </c>
      <c r="C355" s="88" t="s">
        <v>1335</v>
      </c>
      <c r="D355" s="88" t="s">
        <v>51</v>
      </c>
      <c r="E355" s="88">
        <v>1.0</v>
      </c>
      <c r="F355" s="89">
        <v>1500.0</v>
      </c>
      <c r="G355" s="90" t="s">
        <v>53</v>
      </c>
      <c r="H355" s="91">
        <v>46174.0</v>
      </c>
      <c r="I355" s="92" t="s">
        <v>17</v>
      </c>
      <c r="J355" s="92" t="s">
        <v>54</v>
      </c>
      <c r="K355" s="92" t="s">
        <v>66</v>
      </c>
      <c r="L355" s="92" t="s">
        <v>67</v>
      </c>
      <c r="M355" s="90" t="s">
        <v>132</v>
      </c>
      <c r="N355" s="92" t="s">
        <v>58</v>
      </c>
      <c r="O355" s="87" t="s">
        <v>69</v>
      </c>
      <c r="P355" s="87"/>
      <c r="Q355" s="87" t="s">
        <v>756</v>
      </c>
      <c r="R355" s="93" t="s">
        <v>71</v>
      </c>
      <c r="S355" s="87"/>
      <c r="T355" s="87"/>
      <c r="U355" s="94" t="str">
        <f t="array" ref="U355">IFERROR(INDEX(DFD!$D$2:$D$1048791,MATCH($Q355,DFD!$B$2:$B$1048791,0)),"")</f>
        <v/>
      </c>
      <c r="V355" s="94" t="str">
        <f t="array" ref="V355">IFERROR(INDEX(DFD!$F$2:$F$1048791,MATCH($Q355,DFD!$B$2:$B$1048791,0)),"")</f>
        <v/>
      </c>
      <c r="W355" s="97" t="str">
        <f t="array" ref="W355">IFERROR(INDEX(DFD!$E$2:$E$1048791,MATCH($Q355,DFD!$B$2:$B$1048791,0)),"")</f>
        <v/>
      </c>
      <c r="X355" s="97" t="str">
        <f t="array" ref="X355">IFERROR(INDEX(DFD!$K$2:$K$1048791,MATCH($Q355,DFD!$B$2:$B$1048791,0)),"")</f>
        <v/>
      </c>
      <c r="Y355" s="97" t="str">
        <f t="array" ref="Y355">IFERROR(INDEX(DFD!$L$2:$L$1048790,MATCH($Q355,DFD!$B$2:$B$1048790,0)),"")</f>
        <v/>
      </c>
      <c r="Z355" s="97">
        <f t="shared" si="11"/>
        <v>45</v>
      </c>
      <c r="AA355" s="87"/>
      <c r="AB355" s="87" t="s">
        <v>78</v>
      </c>
      <c r="AC355" s="87"/>
      <c r="AD355" s="99">
        <v>46043.0</v>
      </c>
      <c r="AE355" s="100">
        <f t="shared" si="8"/>
        <v>1</v>
      </c>
    </row>
    <row r="356" ht="15.75" customHeight="1">
      <c r="A356" s="67" t="s">
        <v>1338</v>
      </c>
      <c r="B356" s="59" t="s">
        <v>184</v>
      </c>
      <c r="C356" s="60" t="s">
        <v>1339</v>
      </c>
      <c r="D356" s="60" t="s">
        <v>749</v>
      </c>
      <c r="E356" s="60">
        <v>1000.0</v>
      </c>
      <c r="F356" s="72">
        <v>1500.0</v>
      </c>
      <c r="G356" s="73" t="s">
        <v>53</v>
      </c>
      <c r="H356" s="74">
        <v>46174.0</v>
      </c>
      <c r="I356" s="67" t="s">
        <v>17</v>
      </c>
      <c r="J356" s="67" t="s">
        <v>54</v>
      </c>
      <c r="K356" s="67" t="s">
        <v>66</v>
      </c>
      <c r="L356" s="67" t="s">
        <v>67</v>
      </c>
      <c r="M356" s="73" t="s">
        <v>132</v>
      </c>
      <c r="N356" s="67" t="s">
        <v>58</v>
      </c>
      <c r="O356" s="59" t="s">
        <v>69</v>
      </c>
      <c r="P356" s="59"/>
      <c r="Q356" s="59" t="s">
        <v>756</v>
      </c>
      <c r="R356" s="76" t="s">
        <v>71</v>
      </c>
      <c r="S356" s="59"/>
      <c r="T356" s="59"/>
      <c r="U356" s="77" t="str">
        <f t="array" ref="U356">IFERROR(INDEX(DFD!$D$2:$D$1048791,MATCH($Q356,DFD!$B$2:$B$1048791,0)),"")</f>
        <v/>
      </c>
      <c r="V356" s="77" t="str">
        <f t="array" ref="V356">IFERROR(INDEX(DFD!$F$2:$F$1048791,MATCH($Q356,DFD!$B$2:$B$1048791,0)),"")</f>
        <v/>
      </c>
      <c r="W356" s="84" t="str">
        <f t="array" ref="W356">IFERROR(INDEX(DFD!$E$2:$E$1048791,MATCH($Q356,DFD!$B$2:$B$1048791,0)),"")</f>
        <v/>
      </c>
      <c r="X356" s="84" t="str">
        <f t="array" ref="X356">IFERROR(INDEX(DFD!$K$2:$K$1048791,MATCH($Q356,DFD!$B$2:$B$1048791,0)),"")</f>
        <v/>
      </c>
      <c r="Y356" s="84" t="str">
        <f t="array" ref="Y356">IFERROR(INDEX(DFD!$L$2:$L$1048790,MATCH($Q356,DFD!$B$2:$B$1048790,0)),"")</f>
        <v/>
      </c>
      <c r="Z356" s="84">
        <f t="shared" si="11"/>
        <v>45</v>
      </c>
      <c r="AA356" s="59"/>
      <c r="AB356" s="59" t="s">
        <v>78</v>
      </c>
      <c r="AC356" s="59"/>
      <c r="AD356" s="85">
        <v>46043.0</v>
      </c>
      <c r="AE356" s="86">
        <f t="shared" si="8"/>
        <v>1</v>
      </c>
    </row>
    <row r="357" ht="15.75" customHeight="1">
      <c r="A357" s="87" t="s">
        <v>1340</v>
      </c>
      <c r="B357" s="87" t="s">
        <v>101</v>
      </c>
      <c r="C357" s="88" t="s">
        <v>1341</v>
      </c>
      <c r="D357" s="88" t="s">
        <v>51</v>
      </c>
      <c r="E357" s="88">
        <v>200.0</v>
      </c>
      <c r="F357" s="89">
        <v>6000.0</v>
      </c>
      <c r="G357" s="90" t="s">
        <v>53</v>
      </c>
      <c r="H357" s="91">
        <v>46174.0</v>
      </c>
      <c r="I357" s="92" t="s">
        <v>17</v>
      </c>
      <c r="J357" s="92" t="s">
        <v>54</v>
      </c>
      <c r="K357" s="92" t="s">
        <v>66</v>
      </c>
      <c r="L357" s="92" t="s">
        <v>56</v>
      </c>
      <c r="M357" s="90" t="s">
        <v>104</v>
      </c>
      <c r="N357" s="92" t="s">
        <v>58</v>
      </c>
      <c r="O357" s="92" t="s">
        <v>89</v>
      </c>
      <c r="P357" s="87"/>
      <c r="Q357" s="87" t="s">
        <v>756</v>
      </c>
      <c r="R357" s="93" t="s">
        <v>71</v>
      </c>
      <c r="S357" s="87"/>
      <c r="T357" s="87"/>
      <c r="U357" s="94" t="s">
        <v>668</v>
      </c>
      <c r="V357" s="94" t="str">
        <f t="array" ref="V357">IFERROR(INDEX(DFD!$F$2:$F$1048791,MATCH($Q357,DFD!$B$2:$B$1048791,0)),"")</f>
        <v/>
      </c>
      <c r="W357" s="97" t="str">
        <f t="array" ref="W357">IFERROR(INDEX(DFD!$E$2:$E$1048791,MATCH($Q357,DFD!$B$2:$B$1048791,0)),"")</f>
        <v/>
      </c>
      <c r="X357" s="97" t="str">
        <f t="array" ref="X357">IFERROR(INDEX(DFD!$K$2:$K$1048791,MATCH($Q357,DFD!$B$2:$B$1048791,0)),"")</f>
        <v/>
      </c>
      <c r="Y357" s="97" t="str">
        <f t="array" ref="Y357">IFERROR(INDEX(DFD!$L$2:$L$1048790,MATCH($Q357,DFD!$B$2:$B$1048790,0)),"")</f>
        <v/>
      </c>
      <c r="Z357" s="97">
        <f t="shared" si="11"/>
        <v>45</v>
      </c>
      <c r="AA357" s="87"/>
      <c r="AB357" s="87" t="s">
        <v>78</v>
      </c>
      <c r="AC357" s="87"/>
      <c r="AD357" s="99">
        <v>46043.0</v>
      </c>
      <c r="AE357" s="100">
        <f t="shared" si="8"/>
        <v>1</v>
      </c>
    </row>
    <row r="358" ht="15.75" customHeight="1">
      <c r="A358" s="59" t="s">
        <v>1342</v>
      </c>
      <c r="B358" s="59" t="s">
        <v>105</v>
      </c>
      <c r="C358" s="60" t="s">
        <v>1341</v>
      </c>
      <c r="D358" s="60" t="s">
        <v>1343</v>
      </c>
      <c r="E358" s="60">
        <v>100.0</v>
      </c>
      <c r="F358" s="72">
        <v>1500.0</v>
      </c>
      <c r="G358" s="73" t="s">
        <v>53</v>
      </c>
      <c r="H358" s="74">
        <v>46174.0</v>
      </c>
      <c r="I358" s="67" t="s">
        <v>17</v>
      </c>
      <c r="J358" s="67" t="s">
        <v>54</v>
      </c>
      <c r="K358" s="67" t="s">
        <v>66</v>
      </c>
      <c r="L358" s="67" t="s">
        <v>67</v>
      </c>
      <c r="M358" s="73" t="s">
        <v>132</v>
      </c>
      <c r="N358" s="67" t="s">
        <v>58</v>
      </c>
      <c r="O358" s="59" t="s">
        <v>69</v>
      </c>
      <c r="P358" s="59"/>
      <c r="Q358" s="59" t="s">
        <v>756</v>
      </c>
      <c r="R358" s="76" t="s">
        <v>71</v>
      </c>
      <c r="S358" s="59"/>
      <c r="T358" s="59"/>
      <c r="U358" s="77" t="s">
        <v>668</v>
      </c>
      <c r="V358" s="77" t="str">
        <f t="array" ref="V358">IFERROR(INDEX(DFD!$F$2:$F$1048791,MATCH($Q358,DFD!$B$2:$B$1048791,0)),"")</f>
        <v/>
      </c>
      <c r="W358" s="84" t="str">
        <f t="array" ref="W358">IFERROR(INDEX(DFD!$E$2:$E$1048791,MATCH($Q358,DFD!$B$2:$B$1048791,0)),"")</f>
        <v/>
      </c>
      <c r="X358" s="84" t="str">
        <f t="array" ref="X358">IFERROR(INDEX(DFD!$K$2:$K$1048791,MATCH($Q358,DFD!$B$2:$B$1048791,0)),"")</f>
        <v/>
      </c>
      <c r="Y358" s="84" t="str">
        <f t="array" ref="Y358">IFERROR(INDEX(DFD!$L$2:$L$1048790,MATCH($Q358,DFD!$B$2:$B$1048790,0)),"")</f>
        <v/>
      </c>
      <c r="Z358" s="84">
        <f t="shared" si="11"/>
        <v>45</v>
      </c>
      <c r="AA358" s="59"/>
      <c r="AB358" s="59" t="s">
        <v>78</v>
      </c>
      <c r="AC358" s="59"/>
      <c r="AD358" s="85">
        <v>46043.0</v>
      </c>
      <c r="AE358" s="86">
        <f t="shared" si="8"/>
        <v>1</v>
      </c>
    </row>
    <row r="359" ht="15.75" customHeight="1">
      <c r="A359" s="87" t="s">
        <v>1344</v>
      </c>
      <c r="B359" s="87" t="s">
        <v>355</v>
      </c>
      <c r="C359" s="88" t="s">
        <v>1341</v>
      </c>
      <c r="D359" s="88" t="s">
        <v>749</v>
      </c>
      <c r="E359" s="88">
        <v>200.0</v>
      </c>
      <c r="F359" s="89">
        <v>3000.0</v>
      </c>
      <c r="G359" s="90" t="s">
        <v>53</v>
      </c>
      <c r="H359" s="91">
        <v>46174.0</v>
      </c>
      <c r="I359" s="92" t="s">
        <v>17</v>
      </c>
      <c r="J359" s="92" t="s">
        <v>54</v>
      </c>
      <c r="K359" s="92" t="s">
        <v>66</v>
      </c>
      <c r="L359" s="92" t="s">
        <v>56</v>
      </c>
      <c r="M359" s="90" t="s">
        <v>104</v>
      </c>
      <c r="N359" s="92" t="s">
        <v>58</v>
      </c>
      <c r="O359" s="87" t="s">
        <v>69</v>
      </c>
      <c r="P359" s="87"/>
      <c r="Q359" s="87" t="s">
        <v>52</v>
      </c>
      <c r="R359" s="93" t="s">
        <v>71</v>
      </c>
      <c r="S359" s="87"/>
      <c r="T359" s="87"/>
      <c r="U359" s="94" t="str">
        <f t="array" ref="U359">IFERROR(INDEX(DFD!$D$2:$D$1048791,MATCH($Q359,DFD!$B$2:$B$1048791,0)),"")</f>
        <v/>
      </c>
      <c r="V359" s="94" t="str">
        <f t="array" ref="V359">IFERROR(INDEX(DFD!$F$2:$F$1048791,MATCH($Q359,DFD!$B$2:$B$1048791,0)),"")</f>
        <v/>
      </c>
      <c r="W359" s="97" t="str">
        <f t="array" ref="W359">IFERROR(INDEX(DFD!$E$2:$E$1048791,MATCH($Q359,DFD!$B$2:$B$1048791,0)),"")</f>
        <v/>
      </c>
      <c r="X359" s="97" t="str">
        <f t="array" ref="X359">IFERROR(INDEX(DFD!$K$2:$K$1048791,MATCH($Q359,DFD!$B$2:$B$1048791,0)),"")</f>
        <v/>
      </c>
      <c r="Y359" s="97" t="str">
        <f t="array" ref="Y359">IFERROR(INDEX(DFD!$L$2:$L$1048790,MATCH($Q359,DFD!$B$2:$B$1048790,0)),"")</f>
        <v/>
      </c>
      <c r="Z359" s="97">
        <f t="shared" si="11"/>
        <v>45</v>
      </c>
      <c r="AA359" s="87"/>
      <c r="AB359" s="87" t="s">
        <v>72</v>
      </c>
      <c r="AC359" s="87"/>
      <c r="AD359" s="99">
        <v>46043.0</v>
      </c>
      <c r="AE359" s="100">
        <f t="shared" si="8"/>
        <v>1</v>
      </c>
    </row>
    <row r="360" ht="15.75" customHeight="1">
      <c r="A360" s="59" t="s">
        <v>1345</v>
      </c>
      <c r="B360" s="59" t="s">
        <v>52</v>
      </c>
      <c r="C360" s="60" t="s">
        <v>1346</v>
      </c>
      <c r="D360" s="60" t="s">
        <v>51</v>
      </c>
      <c r="E360" s="60">
        <v>2.0</v>
      </c>
      <c r="F360" s="72">
        <v>6400.0</v>
      </c>
      <c r="G360" s="73" t="s">
        <v>53</v>
      </c>
      <c r="H360" s="74">
        <v>46174.0</v>
      </c>
      <c r="I360" s="67" t="s">
        <v>17</v>
      </c>
      <c r="J360" s="67" t="s">
        <v>54</v>
      </c>
      <c r="K360" s="67" t="s">
        <v>161</v>
      </c>
      <c r="L360" s="67" t="s">
        <v>67</v>
      </c>
      <c r="M360" s="73" t="s">
        <v>132</v>
      </c>
      <c r="N360" s="67" t="s">
        <v>58</v>
      </c>
      <c r="O360" s="67" t="s">
        <v>89</v>
      </c>
      <c r="P360" s="59"/>
      <c r="Q360" s="59" t="s">
        <v>52</v>
      </c>
      <c r="R360" s="76" t="s">
        <v>164</v>
      </c>
      <c r="S360" s="59"/>
      <c r="T360" s="59"/>
      <c r="U360" s="77"/>
      <c r="V360" s="77"/>
      <c r="W360" s="84"/>
      <c r="X360" s="84"/>
      <c r="Y360" s="84"/>
      <c r="Z360" s="84"/>
      <c r="AA360" s="59"/>
      <c r="AB360" s="59" t="s">
        <v>72</v>
      </c>
      <c r="AC360" s="59"/>
      <c r="AD360" s="85">
        <v>46043.0</v>
      </c>
      <c r="AE360" s="86">
        <f t="shared" si="8"/>
        <v>1</v>
      </c>
    </row>
    <row r="361" ht="15.75" customHeight="1">
      <c r="A361" s="92" t="s">
        <v>1347</v>
      </c>
      <c r="B361" s="87" t="s">
        <v>136</v>
      </c>
      <c r="C361" s="116" t="s">
        <v>1348</v>
      </c>
      <c r="D361" s="88" t="s">
        <v>1349</v>
      </c>
      <c r="E361" s="88">
        <v>1.0</v>
      </c>
      <c r="F361" s="89">
        <v>8500.0</v>
      </c>
      <c r="G361" s="90" t="s">
        <v>437</v>
      </c>
      <c r="H361" s="91">
        <v>46204.0</v>
      </c>
      <c r="I361" s="92" t="s">
        <v>17</v>
      </c>
      <c r="J361" s="92" t="s">
        <v>54</v>
      </c>
      <c r="K361" s="92" t="s">
        <v>55</v>
      </c>
      <c r="L361" s="92" t="s">
        <v>56</v>
      </c>
      <c r="M361" s="90" t="s">
        <v>1350</v>
      </c>
      <c r="N361" s="92" t="s">
        <v>20</v>
      </c>
      <c r="O361" s="87" t="s">
        <v>69</v>
      </c>
      <c r="P361" s="87"/>
      <c r="Q361" s="87" t="s">
        <v>467</v>
      </c>
      <c r="R361" s="93" t="s">
        <v>1351</v>
      </c>
      <c r="S361" s="87"/>
      <c r="T361" s="87"/>
      <c r="U361" s="94" t="str">
        <f t="array" ref="U361">IFERROR(INDEX(DFD!$D$2:$D$1048791,MATCH($Q361,DFD!$B$2:$B$1048791,0)),"")</f>
        <v/>
      </c>
      <c r="V361" s="94" t="str">
        <f t="array" ref="V361">IFERROR(INDEX(DFD!$F$2:$F$1048791,MATCH($Q361,DFD!$B$2:$B$1048791,0)),"")</f>
        <v/>
      </c>
      <c r="W361" s="97" t="str">
        <f t="array" ref="W361">IFERROR(INDEX(DFD!$E$2:$E$1048791,MATCH($Q361,DFD!$B$2:$B$1048791,0)),"")</f>
        <v/>
      </c>
      <c r="X361" s="97" t="str">
        <f t="array" ref="X361">IFERROR(INDEX(DFD!$K$2:$K$1048791,MATCH($Q361,DFD!$B$2:$B$1048791,0)),"")</f>
        <v/>
      </c>
      <c r="Y361" s="97" t="str">
        <f t="array" ref="Y361">IFERROR(INDEX(DFD!$L$2:$L$1048790,MATCH($Q361,DFD!$B$2:$B$1048790,0)),"")</f>
        <v/>
      </c>
      <c r="Z361" s="97">
        <f t="shared" ref="Z361:Z386" si="12">Y361+45</f>
        <v>45</v>
      </c>
      <c r="AA361" s="87"/>
      <c r="AB361" s="87" t="s">
        <v>288</v>
      </c>
      <c r="AC361" s="87"/>
      <c r="AD361" s="99">
        <v>46043.0</v>
      </c>
      <c r="AE361" s="100">
        <f t="shared" si="8"/>
        <v>1</v>
      </c>
    </row>
    <row r="362" ht="15.75" customHeight="1">
      <c r="A362" s="67" t="s">
        <v>1352</v>
      </c>
      <c r="B362" s="59" t="s">
        <v>184</v>
      </c>
      <c r="C362" s="60" t="s">
        <v>1353</v>
      </c>
      <c r="D362" s="60" t="s">
        <v>51</v>
      </c>
      <c r="E362" s="60">
        <v>10.0</v>
      </c>
      <c r="F362" s="72">
        <v>50.0</v>
      </c>
      <c r="G362" s="73" t="s">
        <v>53</v>
      </c>
      <c r="H362" s="74">
        <v>46143.0</v>
      </c>
      <c r="I362" s="67" t="s">
        <v>17</v>
      </c>
      <c r="J362" s="67" t="s">
        <v>54</v>
      </c>
      <c r="K362" s="67" t="s">
        <v>66</v>
      </c>
      <c r="L362" s="67" t="s">
        <v>67</v>
      </c>
      <c r="M362" s="73" t="s">
        <v>167</v>
      </c>
      <c r="N362" s="67" t="s">
        <v>20</v>
      </c>
      <c r="O362" s="59" t="s">
        <v>69</v>
      </c>
      <c r="P362" s="59"/>
      <c r="Q362" s="59" t="s">
        <v>286</v>
      </c>
      <c r="R362" s="76" t="s">
        <v>287</v>
      </c>
      <c r="S362" s="59"/>
      <c r="T362" s="59"/>
      <c r="U362" s="77" t="str">
        <f t="array" ref="U362">IFERROR(INDEX(DFD!$D$2:$D$1048791,MATCH($Q362,DFD!$B$2:$B$1048791,0)),"")</f>
        <v/>
      </c>
      <c r="V362" s="77" t="str">
        <f t="array" ref="V362">IFERROR(INDEX(DFD!$F$2:$F$1048791,MATCH($Q362,DFD!$B$2:$B$1048791,0)),"")</f>
        <v/>
      </c>
      <c r="W362" s="84" t="str">
        <f t="array" ref="W362">IFERROR(INDEX(DFD!$E$2:$E$1048791,MATCH($Q362,DFD!$B$2:$B$1048791,0)),"")</f>
        <v/>
      </c>
      <c r="X362" s="84" t="str">
        <f t="array" ref="X362">IFERROR(INDEX(DFD!$K$2:$K$1048791,MATCH($Q362,DFD!$B$2:$B$1048791,0)),"")</f>
        <v/>
      </c>
      <c r="Y362" s="84" t="str">
        <f t="array" ref="Y362">IFERROR(INDEX(DFD!$L$2:$L$1048790,MATCH($Q362,DFD!$B$2:$B$1048790,0)),"")</f>
        <v/>
      </c>
      <c r="Z362" s="84">
        <f t="shared" si="12"/>
        <v>45</v>
      </c>
      <c r="AA362" s="59"/>
      <c r="AB362" s="59" t="s">
        <v>288</v>
      </c>
      <c r="AC362" s="59"/>
      <c r="AD362" s="85">
        <v>46043.0</v>
      </c>
      <c r="AE362" s="86">
        <f t="shared" si="8"/>
        <v>1</v>
      </c>
    </row>
    <row r="363" ht="15.75" customHeight="1">
      <c r="A363" s="92" t="s">
        <v>1354</v>
      </c>
      <c r="B363" s="87" t="s">
        <v>105</v>
      </c>
      <c r="C363" s="88" t="s">
        <v>1355</v>
      </c>
      <c r="D363" s="88" t="s">
        <v>51</v>
      </c>
      <c r="E363" s="88">
        <v>6.0</v>
      </c>
      <c r="F363" s="89">
        <v>1800.0</v>
      </c>
      <c r="G363" s="90" t="s">
        <v>53</v>
      </c>
      <c r="H363" s="91">
        <v>46174.0</v>
      </c>
      <c r="I363" s="92" t="s">
        <v>17</v>
      </c>
      <c r="J363" s="92" t="s">
        <v>54</v>
      </c>
      <c r="K363" s="92" t="s">
        <v>66</v>
      </c>
      <c r="L363" s="92" t="s">
        <v>56</v>
      </c>
      <c r="M363" s="90" t="s">
        <v>132</v>
      </c>
      <c r="N363" s="92" t="s">
        <v>20</v>
      </c>
      <c r="O363" s="92" t="s">
        <v>89</v>
      </c>
      <c r="P363" s="87"/>
      <c r="Q363" s="87" t="s">
        <v>1356</v>
      </c>
      <c r="R363" s="93" t="s">
        <v>1027</v>
      </c>
      <c r="S363" s="87"/>
      <c r="T363" s="87"/>
      <c r="U363" s="94" t="str">
        <f t="array" ref="U363">IFERROR(INDEX(DFD!$D$2:$D$1048791,MATCH($Q363,DFD!$B$2:$B$1048791,0)),"")</f>
        <v/>
      </c>
      <c r="V363" s="94" t="s">
        <v>280</v>
      </c>
      <c r="W363" s="97" t="str">
        <f t="array" ref="W363">IFERROR(INDEX(DFD!$E$2:$E$1048791,MATCH($Q363,DFD!$B$2:$B$1048791,0)),"")</f>
        <v/>
      </c>
      <c r="X363" s="97" t="str">
        <f t="array" ref="X363">IFERROR(INDEX(DFD!$K$2:$K$1048791,MATCH($Q363,DFD!$B$2:$B$1048791,0)),"")</f>
        <v/>
      </c>
      <c r="Y363" s="97" t="str">
        <f t="array" ref="Y363">IFERROR(INDEX(DFD!$L$2:$L$1048790,MATCH($Q363,DFD!$B$2:$B$1048790,0)),"")</f>
        <v/>
      </c>
      <c r="Z363" s="97">
        <f t="shared" si="12"/>
        <v>45</v>
      </c>
      <c r="AA363" s="87"/>
      <c r="AB363" s="87" t="s">
        <v>78</v>
      </c>
      <c r="AC363" s="87"/>
      <c r="AD363" s="99">
        <v>46043.0</v>
      </c>
      <c r="AE363" s="100">
        <f t="shared" si="8"/>
        <v>1</v>
      </c>
    </row>
    <row r="364" ht="15.75" customHeight="1">
      <c r="A364" s="59" t="s">
        <v>1357</v>
      </c>
      <c r="B364" s="71" t="s">
        <v>101</v>
      </c>
      <c r="C364" s="60" t="s">
        <v>1358</v>
      </c>
      <c r="D364" s="60" t="s">
        <v>51</v>
      </c>
      <c r="E364" s="60">
        <v>40.0</v>
      </c>
      <c r="F364" s="72">
        <v>5184.0</v>
      </c>
      <c r="G364" s="73" t="s">
        <v>53</v>
      </c>
      <c r="H364" s="74">
        <v>46204.0</v>
      </c>
      <c r="I364" s="67" t="s">
        <v>17</v>
      </c>
      <c r="J364" s="67" t="s">
        <v>54</v>
      </c>
      <c r="K364" s="67" t="s">
        <v>55</v>
      </c>
      <c r="L364" s="67" t="s">
        <v>56</v>
      </c>
      <c r="M364" s="73" t="s">
        <v>112</v>
      </c>
      <c r="N364" s="67" t="s">
        <v>58</v>
      </c>
      <c r="O364" s="59" t="s">
        <v>69</v>
      </c>
      <c r="P364" s="59"/>
      <c r="Q364" s="59" t="s">
        <v>667</v>
      </c>
      <c r="R364" s="76" t="s">
        <v>71</v>
      </c>
      <c r="S364" s="59"/>
      <c r="T364" s="59"/>
      <c r="U364" s="77" t="str">
        <f t="array" ref="U364">IFERROR(INDEX(DFD!$D$2:$D$1048791,MATCH($Q364,DFD!$B$2:$B$1048791,0)),"")</f>
        <v/>
      </c>
      <c r="V364" s="77" t="str">
        <f t="array" ref="V364">IFERROR(INDEX(DFD!$F$2:$F$1048791,MATCH($Q364,DFD!$B$2:$B$1048791,0)),"")</f>
        <v/>
      </c>
      <c r="W364" s="84" t="str">
        <f t="array" ref="W364">IFERROR(INDEX(DFD!$E$2:$E$1048791,MATCH($Q364,DFD!$B$2:$B$1048791,0)),"")</f>
        <v/>
      </c>
      <c r="X364" s="84" t="str">
        <f t="array" ref="X364">IFERROR(INDEX(DFD!$K$2:$K$1048791,MATCH($Q364,DFD!$B$2:$B$1048791,0)),"")</f>
        <v/>
      </c>
      <c r="Y364" s="84" t="str">
        <f t="array" ref="Y364">IFERROR(INDEX(DFD!$L$2:$L$1048790,MATCH($Q364,DFD!$B$2:$B$1048790,0)),"")</f>
        <v/>
      </c>
      <c r="Z364" s="84">
        <f t="shared" si="12"/>
        <v>45</v>
      </c>
      <c r="AA364" s="59"/>
      <c r="AB364" s="59" t="s">
        <v>78</v>
      </c>
      <c r="AC364" s="59"/>
      <c r="AD364" s="85">
        <v>46043.0</v>
      </c>
      <c r="AE364" s="86">
        <f t="shared" si="8"/>
        <v>1</v>
      </c>
    </row>
    <row r="365" ht="15.75" customHeight="1">
      <c r="A365" s="87" t="s">
        <v>1359</v>
      </c>
      <c r="B365" s="87" t="s">
        <v>171</v>
      </c>
      <c r="C365" s="88" t="s">
        <v>1360</v>
      </c>
      <c r="D365" s="88" t="s">
        <v>51</v>
      </c>
      <c r="E365" s="88">
        <v>30.0</v>
      </c>
      <c r="F365" s="89">
        <v>4800.0</v>
      </c>
      <c r="G365" s="90" t="s">
        <v>53</v>
      </c>
      <c r="H365" s="91">
        <v>46204.0</v>
      </c>
      <c r="I365" s="92" t="s">
        <v>17</v>
      </c>
      <c r="J365" s="92" t="s">
        <v>54</v>
      </c>
      <c r="K365" s="92" t="s">
        <v>66</v>
      </c>
      <c r="L365" s="92" t="s">
        <v>67</v>
      </c>
      <c r="M365" s="90" t="s">
        <v>68</v>
      </c>
      <c r="N365" s="92" t="s">
        <v>5</v>
      </c>
      <c r="O365" s="87" t="s">
        <v>69</v>
      </c>
      <c r="P365" s="87"/>
      <c r="Q365" s="87" t="s">
        <v>1361</v>
      </c>
      <c r="R365" s="93" t="s">
        <v>71</v>
      </c>
      <c r="S365" s="87"/>
      <c r="T365" s="87"/>
      <c r="U365" s="94" t="str">
        <f t="array" ref="U365">IFERROR(INDEX(DFD!$D$2:$D$1048791,MATCH($Q365,DFD!$B$2:$B$1048791,0)),"")</f>
        <v/>
      </c>
      <c r="V365" s="94" t="str">
        <f t="array" ref="V365">IFERROR(INDEX(DFD!$F$2:$F$1048791,MATCH($Q365,DFD!$B$2:$B$1048791,0)),"")</f>
        <v/>
      </c>
      <c r="W365" s="97" t="str">
        <f t="array" ref="W365">IFERROR(INDEX(DFD!$E$2:$E$1048791,MATCH($Q365,DFD!$B$2:$B$1048791,0)),"")</f>
        <v/>
      </c>
      <c r="X365" s="97" t="str">
        <f t="array" ref="X365">IFERROR(INDEX(DFD!$K$2:$K$1048791,MATCH($Q365,DFD!$B$2:$B$1048791,0)),"")</f>
        <v/>
      </c>
      <c r="Y365" s="97" t="str">
        <f t="array" ref="Y365">IFERROR(INDEX(DFD!$L$2:$L$1048790,MATCH($Q365,DFD!$B$2:$B$1048790,0)),"")</f>
        <v/>
      </c>
      <c r="Z365" s="97">
        <f t="shared" si="12"/>
        <v>45</v>
      </c>
      <c r="AA365" s="87"/>
      <c r="AB365" s="87" t="s">
        <v>78</v>
      </c>
      <c r="AC365" s="87"/>
      <c r="AD365" s="99">
        <v>46043.0</v>
      </c>
      <c r="AE365" s="100">
        <f t="shared" si="8"/>
        <v>1</v>
      </c>
    </row>
    <row r="366" ht="15.75" customHeight="1">
      <c r="A366" s="67" t="s">
        <v>1362</v>
      </c>
      <c r="B366" s="59" t="s">
        <v>184</v>
      </c>
      <c r="C366" s="60" t="s">
        <v>1363</v>
      </c>
      <c r="D366" s="60" t="s">
        <v>51</v>
      </c>
      <c r="E366" s="60">
        <v>100.0</v>
      </c>
      <c r="F366" s="72">
        <v>50000.0</v>
      </c>
      <c r="G366" s="73" t="s">
        <v>53</v>
      </c>
      <c r="H366" s="74">
        <v>46266.0</v>
      </c>
      <c r="I366" s="67" t="s">
        <v>17</v>
      </c>
      <c r="J366" s="67" t="s">
        <v>54</v>
      </c>
      <c r="K366" s="67" t="s">
        <v>66</v>
      </c>
      <c r="L366" s="67" t="s">
        <v>67</v>
      </c>
      <c r="M366" s="73" t="s">
        <v>167</v>
      </c>
      <c r="N366" s="67" t="s">
        <v>20</v>
      </c>
      <c r="O366" s="67" t="s">
        <v>89</v>
      </c>
      <c r="P366" s="59"/>
      <c r="Q366" s="174" t="s">
        <v>1364</v>
      </c>
      <c r="R366" s="76" t="s">
        <v>71</v>
      </c>
      <c r="S366" s="59"/>
      <c r="T366" s="59"/>
      <c r="U366" s="174" t="s">
        <v>1365</v>
      </c>
      <c r="V366" s="77" t="s">
        <v>184</v>
      </c>
      <c r="W366" s="84" t="str">
        <f t="array" ref="W366">IFERROR(INDEX(DFD!$E$2:$E$1048791,MATCH($Q366,DFD!$B$2:$B$1048791,0)),"")</f>
        <v/>
      </c>
      <c r="X366" s="84" t="str">
        <f t="array" ref="X366">IFERROR(INDEX(DFD!$K$2:$K$1048791,MATCH($Q366,DFD!$B$2:$B$1048791,0)),"")</f>
        <v/>
      </c>
      <c r="Y366" s="84" t="str">
        <f t="array" ref="Y366">IFERROR(INDEX(DFD!$L$2:$L$1048790,MATCH($Q366,DFD!$B$2:$B$1048790,0)),"")</f>
        <v/>
      </c>
      <c r="Z366" s="84">
        <f t="shared" si="12"/>
        <v>45</v>
      </c>
      <c r="AA366" s="59" t="s">
        <v>1366</v>
      </c>
      <c r="AB366" s="59" t="s">
        <v>78</v>
      </c>
      <c r="AC366" s="59"/>
      <c r="AD366" s="85">
        <v>46043.0</v>
      </c>
      <c r="AE366" s="86">
        <f t="shared" si="8"/>
        <v>1</v>
      </c>
    </row>
    <row r="367" ht="15.75" customHeight="1">
      <c r="A367" s="87" t="s">
        <v>1367</v>
      </c>
      <c r="B367" s="87" t="s">
        <v>148</v>
      </c>
      <c r="C367" s="88" t="s">
        <v>1368</v>
      </c>
      <c r="D367" s="88" t="s">
        <v>51</v>
      </c>
      <c r="E367" s="88">
        <v>30.0</v>
      </c>
      <c r="F367" s="89">
        <v>1050.0</v>
      </c>
      <c r="G367" s="90" t="s">
        <v>53</v>
      </c>
      <c r="H367" s="91">
        <v>46174.0</v>
      </c>
      <c r="I367" s="92" t="s">
        <v>17</v>
      </c>
      <c r="J367" s="92" t="s">
        <v>54</v>
      </c>
      <c r="K367" s="92" t="s">
        <v>66</v>
      </c>
      <c r="L367" s="92" t="s">
        <v>67</v>
      </c>
      <c r="M367" s="90" t="s">
        <v>112</v>
      </c>
      <c r="N367" s="92" t="s">
        <v>5</v>
      </c>
      <c r="O367" s="87" t="s">
        <v>69</v>
      </c>
      <c r="P367" s="87"/>
      <c r="Q367" s="87" t="s">
        <v>1369</v>
      </c>
      <c r="R367" s="93" t="s">
        <v>373</v>
      </c>
      <c r="S367" s="87"/>
      <c r="T367" s="87"/>
      <c r="U367" s="94" t="str">
        <f t="array" ref="U367">IFERROR(INDEX(DFD!$D$2:$D$1048791,MATCH($Q367,DFD!$B$2:$B$1048791,0)),"")</f>
        <v/>
      </c>
      <c r="V367" s="94" t="str">
        <f t="array" ref="V367">IFERROR(INDEX(DFD!$F$2:$F$1048791,MATCH($Q367,DFD!$B$2:$B$1048791,0)),"")</f>
        <v/>
      </c>
      <c r="W367" s="97" t="str">
        <f t="array" ref="W367">IFERROR(INDEX(DFD!$E$2:$E$1048791,MATCH($Q367,DFD!$B$2:$B$1048791,0)),"")</f>
        <v/>
      </c>
      <c r="X367" s="97" t="str">
        <f t="array" ref="X367">IFERROR(INDEX(DFD!$K$2:$K$1048791,MATCH($Q367,DFD!$B$2:$B$1048791,0)),"")</f>
        <v/>
      </c>
      <c r="Y367" s="97" t="str">
        <f t="array" ref="Y367">IFERROR(INDEX(DFD!$L$2:$L$1048790,MATCH($Q367,DFD!$B$2:$B$1048790,0)),"")</f>
        <v/>
      </c>
      <c r="Z367" s="97">
        <f t="shared" si="12"/>
        <v>45</v>
      </c>
      <c r="AA367" s="87"/>
      <c r="AB367" s="87" t="s">
        <v>78</v>
      </c>
      <c r="AC367" s="87"/>
      <c r="AD367" s="99">
        <v>46043.0</v>
      </c>
      <c r="AE367" s="100">
        <f t="shared" si="8"/>
        <v>1</v>
      </c>
    </row>
    <row r="368" ht="15.75" customHeight="1">
      <c r="A368" s="67" t="s">
        <v>1370</v>
      </c>
      <c r="B368" s="59" t="s">
        <v>105</v>
      </c>
      <c r="C368" s="60" t="s">
        <v>1371</v>
      </c>
      <c r="D368" s="60" t="s">
        <v>51</v>
      </c>
      <c r="E368" s="60">
        <v>2.0</v>
      </c>
      <c r="F368" s="72">
        <v>500.0</v>
      </c>
      <c r="G368" s="73" t="s">
        <v>53</v>
      </c>
      <c r="H368" s="74">
        <v>46174.0</v>
      </c>
      <c r="I368" s="67" t="s">
        <v>17</v>
      </c>
      <c r="J368" s="67" t="s">
        <v>54</v>
      </c>
      <c r="K368" s="67" t="s">
        <v>66</v>
      </c>
      <c r="L368" s="67" t="s">
        <v>56</v>
      </c>
      <c r="M368" s="73" t="s">
        <v>68</v>
      </c>
      <c r="N368" s="67" t="s">
        <v>20</v>
      </c>
      <c r="O368" s="59" t="s">
        <v>69</v>
      </c>
      <c r="P368" s="59"/>
      <c r="Q368" s="59" t="s">
        <v>113</v>
      </c>
      <c r="R368" s="76" t="s">
        <v>718</v>
      </c>
      <c r="S368" s="59"/>
      <c r="T368" s="59"/>
      <c r="U368" s="77" t="str">
        <f t="array" ref="U368">IFERROR(INDEX(DFD!$D$2:$D$1048791,MATCH($Q368,DFD!$B$2:$B$1048791,0)),"")</f>
        <v/>
      </c>
      <c r="V368" s="77" t="str">
        <f t="array" ref="V368">IFERROR(INDEX(DFD!$F$2:$F$1048791,MATCH($Q368,DFD!$B$2:$B$1048791,0)),"")</f>
        <v/>
      </c>
      <c r="W368" s="84" t="str">
        <f t="array" ref="W368">IFERROR(INDEX(DFD!$E$2:$E$1048791,MATCH($Q368,DFD!$B$2:$B$1048791,0)),"")</f>
        <v/>
      </c>
      <c r="X368" s="84" t="str">
        <f t="array" ref="X368">IFERROR(INDEX(DFD!$K$2:$K$1048791,MATCH($Q368,DFD!$B$2:$B$1048791,0)),"")</f>
        <v/>
      </c>
      <c r="Y368" s="84" t="str">
        <f t="array" ref="Y368">IFERROR(INDEX(DFD!$L$2:$L$1048790,MATCH($Q368,DFD!$B$2:$B$1048790,0)),"")</f>
        <v/>
      </c>
      <c r="Z368" s="84">
        <f t="shared" si="12"/>
        <v>45</v>
      </c>
      <c r="AA368" s="59"/>
      <c r="AB368" s="59" t="s">
        <v>78</v>
      </c>
      <c r="AC368" s="59"/>
      <c r="AD368" s="85">
        <v>46043.0</v>
      </c>
      <c r="AE368" s="86">
        <f t="shared" si="8"/>
        <v>1</v>
      </c>
    </row>
    <row r="369" ht="15.75" customHeight="1">
      <c r="A369" s="87" t="s">
        <v>1372</v>
      </c>
      <c r="B369" s="87" t="s">
        <v>148</v>
      </c>
      <c r="C369" s="88" t="s">
        <v>1373</v>
      </c>
      <c r="D369" s="88" t="s">
        <v>51</v>
      </c>
      <c r="E369" s="88">
        <v>1000.0</v>
      </c>
      <c r="F369" s="89">
        <v>50.0</v>
      </c>
      <c r="G369" s="90" t="s">
        <v>53</v>
      </c>
      <c r="H369" s="91">
        <v>46143.0</v>
      </c>
      <c r="I369" s="92" t="s">
        <v>17</v>
      </c>
      <c r="J369" s="92" t="s">
        <v>54</v>
      </c>
      <c r="K369" s="92" t="s">
        <v>66</v>
      </c>
      <c r="L369" s="92" t="s">
        <v>67</v>
      </c>
      <c r="M369" s="90" t="s">
        <v>132</v>
      </c>
      <c r="N369" s="92" t="s">
        <v>5</v>
      </c>
      <c r="O369" s="92" t="s">
        <v>89</v>
      </c>
      <c r="P369" s="87"/>
      <c r="Q369" s="87" t="s">
        <v>268</v>
      </c>
      <c r="R369" s="93" t="s">
        <v>269</v>
      </c>
      <c r="S369" s="87"/>
      <c r="T369" s="87"/>
      <c r="U369" s="94" t="str">
        <f t="array" ref="U369">IFERROR(INDEX(DFD!$D$2:$D$1048791,MATCH($Q369,DFD!$B$2:$B$1048791,0)),"")</f>
        <v/>
      </c>
      <c r="V369" s="94" t="str">
        <f t="array" ref="V369">IFERROR(INDEX(DFD!$F$2:$F$1048791,MATCH($Q369,DFD!$B$2:$B$1048791,0)),"")</f>
        <v/>
      </c>
      <c r="W369" s="97" t="str">
        <f t="array" ref="W369">IFERROR(INDEX(DFD!$E$2:$E$1048791,MATCH($Q369,DFD!$B$2:$B$1048791,0)),"")</f>
        <v/>
      </c>
      <c r="X369" s="97" t="str">
        <f t="array" ref="X369">IFERROR(INDEX(DFD!$K$2:$K$1048791,MATCH($Q369,DFD!$B$2:$B$1048791,0)),"")</f>
        <v/>
      </c>
      <c r="Y369" s="97" t="str">
        <f t="array" ref="Y369">IFERROR(INDEX(DFD!$L$2:$L$1048790,MATCH($Q369,DFD!$B$2:$B$1048790,0)),"")</f>
        <v/>
      </c>
      <c r="Z369" s="97">
        <f t="shared" si="12"/>
        <v>45</v>
      </c>
      <c r="AA369" s="87"/>
      <c r="AB369" s="87" t="s">
        <v>78</v>
      </c>
      <c r="AC369" s="87"/>
      <c r="AD369" s="99">
        <v>46043.0</v>
      </c>
      <c r="AE369" s="100">
        <f t="shared" si="8"/>
        <v>1</v>
      </c>
    </row>
    <row r="370" ht="15.75" customHeight="1">
      <c r="A370" s="59" t="s">
        <v>1374</v>
      </c>
      <c r="B370" s="59" t="s">
        <v>101</v>
      </c>
      <c r="C370" s="81" t="s">
        <v>1375</v>
      </c>
      <c r="D370" s="60" t="s">
        <v>51</v>
      </c>
      <c r="E370" s="60">
        <v>1.0</v>
      </c>
      <c r="F370" s="72">
        <v>27450.0</v>
      </c>
      <c r="G370" s="73" t="s">
        <v>53</v>
      </c>
      <c r="H370" s="74"/>
      <c r="I370" s="67" t="s">
        <v>17</v>
      </c>
      <c r="J370" s="67"/>
      <c r="K370" s="67"/>
      <c r="L370" s="67"/>
      <c r="M370" s="73" t="s">
        <v>1376</v>
      </c>
      <c r="N370" s="67" t="s">
        <v>5</v>
      </c>
      <c r="O370" s="59" t="s">
        <v>69</v>
      </c>
      <c r="P370" s="59"/>
      <c r="Q370" s="59" t="s">
        <v>1377</v>
      </c>
      <c r="R370" s="76" t="s">
        <v>382</v>
      </c>
      <c r="S370" s="59"/>
      <c r="T370" s="59"/>
      <c r="U370" s="77" t="str">
        <f t="array" ref="U370">IFERROR(INDEX(DFD!$D$2:$D$1048791,MATCH($Q370,DFD!$B$2:$B$1048791,0)),"")</f>
        <v/>
      </c>
      <c r="V370" s="77" t="str">
        <f t="array" ref="V370">IFERROR(INDEX(DFD!$F$2:$F$1048791,MATCH($Q370,DFD!$B$2:$B$1048791,0)),"")</f>
        <v/>
      </c>
      <c r="W370" s="84" t="str">
        <f t="array" ref="W370">IFERROR(INDEX(DFD!$E$2:$E$1048791,MATCH($Q370,DFD!$B$2:$B$1048791,0)),"")</f>
        <v/>
      </c>
      <c r="X370" s="84" t="str">
        <f t="array" ref="X370">IFERROR(INDEX(DFD!$K$2:$K$1048791,MATCH($Q370,DFD!$B$2:$B$1048791,0)),"")</f>
        <v/>
      </c>
      <c r="Y370" s="84" t="str">
        <f t="array" ref="Y370">IFERROR(INDEX(DFD!$L$2:$L$1048790,MATCH($Q370,DFD!$B$2:$B$1048790,0)),"")</f>
        <v/>
      </c>
      <c r="Z370" s="84">
        <f t="shared" si="12"/>
        <v>45</v>
      </c>
      <c r="AA370" s="59"/>
      <c r="AB370" s="59" t="s">
        <v>78</v>
      </c>
      <c r="AC370" s="59"/>
      <c r="AD370" s="85"/>
      <c r="AE370" s="86">
        <f t="shared" si="8"/>
        <v>1</v>
      </c>
    </row>
    <row r="371" ht="15.75" customHeight="1">
      <c r="A371" s="87" t="s">
        <v>1378</v>
      </c>
      <c r="B371" s="92" t="s">
        <v>101</v>
      </c>
      <c r="C371" s="116" t="s">
        <v>1375</v>
      </c>
      <c r="D371" s="175" t="s">
        <v>51</v>
      </c>
      <c r="E371" s="175">
        <v>1.0</v>
      </c>
      <c r="F371" s="89">
        <v>7000.0</v>
      </c>
      <c r="G371" s="176" t="s">
        <v>53</v>
      </c>
      <c r="H371" s="177">
        <v>46266.0</v>
      </c>
      <c r="I371" s="178" t="s">
        <v>17</v>
      </c>
      <c r="J371" s="178" t="s">
        <v>54</v>
      </c>
      <c r="K371" s="178" t="s">
        <v>380</v>
      </c>
      <c r="L371" s="178" t="s">
        <v>56</v>
      </c>
      <c r="M371" s="176" t="s">
        <v>1376</v>
      </c>
      <c r="N371" s="92" t="s">
        <v>5</v>
      </c>
      <c r="O371" s="87" t="s">
        <v>69</v>
      </c>
      <c r="P371" s="179"/>
      <c r="Q371" s="87" t="s">
        <v>1379</v>
      </c>
      <c r="R371" s="93" t="s">
        <v>382</v>
      </c>
      <c r="S371" s="179"/>
      <c r="T371" s="179"/>
      <c r="U371" s="94" t="str">
        <f t="array" ref="U371">IFERROR(INDEX(DFD!$D$2:$D$1048791,MATCH($Q371,DFD!$B$2:$B$1048791,0)),"")</f>
        <v/>
      </c>
      <c r="V371" s="94" t="str">
        <f t="array" ref="V371">IFERROR(INDEX(DFD!$F$2:$F$1048791,MATCH($Q371,DFD!$B$2:$B$1048791,0)),"")</f>
        <v/>
      </c>
      <c r="W371" s="97" t="str">
        <f t="array" ref="W371">IFERROR(INDEX(DFD!$E$2:$E$1048791,MATCH($Q371,DFD!$B$2:$B$1048791,0)),"")</f>
        <v/>
      </c>
      <c r="X371" s="97" t="str">
        <f t="array" ref="X371">IFERROR(INDEX(DFD!$K$2:$K$1048791,MATCH($Q371,DFD!$B$2:$B$1048791,0)),"")</f>
        <v/>
      </c>
      <c r="Y371" s="97" t="str">
        <f t="array" ref="Y371">IFERROR(INDEX(DFD!$L$2:$L$1048790,MATCH($Q371,DFD!$B$2:$B$1048790,0)),"")</f>
        <v/>
      </c>
      <c r="Z371" s="97">
        <f t="shared" si="12"/>
        <v>45</v>
      </c>
      <c r="AA371" s="87"/>
      <c r="AB371" s="87" t="s">
        <v>78</v>
      </c>
      <c r="AC371" s="87"/>
      <c r="AD371" s="99"/>
      <c r="AE371" s="100">
        <f t="shared" si="8"/>
        <v>1</v>
      </c>
    </row>
    <row r="372" ht="15.75" customHeight="1">
      <c r="A372" s="59" t="s">
        <v>1380</v>
      </c>
      <c r="B372" s="59" t="s">
        <v>52</v>
      </c>
      <c r="C372" s="60" t="s">
        <v>1375</v>
      </c>
      <c r="D372" s="60" t="s">
        <v>51</v>
      </c>
      <c r="E372" s="60">
        <v>1.0</v>
      </c>
      <c r="F372" s="72">
        <v>19184.0</v>
      </c>
      <c r="G372" s="73" t="s">
        <v>53</v>
      </c>
      <c r="H372" s="74">
        <v>46266.0</v>
      </c>
      <c r="I372" s="67" t="s">
        <v>17</v>
      </c>
      <c r="J372" s="67" t="s">
        <v>54</v>
      </c>
      <c r="K372" s="67" t="s">
        <v>380</v>
      </c>
      <c r="L372" s="67" t="s">
        <v>56</v>
      </c>
      <c r="M372" s="73" t="s">
        <v>1376</v>
      </c>
      <c r="N372" s="67" t="s">
        <v>58</v>
      </c>
      <c r="O372" s="67" t="s">
        <v>89</v>
      </c>
      <c r="P372" s="59"/>
      <c r="Q372" s="59" t="s">
        <v>52</v>
      </c>
      <c r="R372" s="76" t="s">
        <v>382</v>
      </c>
      <c r="S372" s="59"/>
      <c r="T372" s="59"/>
      <c r="U372" s="77" t="str">
        <f t="array" ref="U372">IFERROR(INDEX(DFD!$D$2:$D$1048791,MATCH($Q372,DFD!$B$2:$B$1048791,0)),"")</f>
        <v/>
      </c>
      <c r="V372" s="77" t="str">
        <f t="array" ref="V372">IFERROR(INDEX(DFD!$F$2:$F$1048791,MATCH($Q372,DFD!$B$2:$B$1048791,0)),"")</f>
        <v/>
      </c>
      <c r="W372" s="84" t="str">
        <f t="array" ref="W372">IFERROR(INDEX(DFD!$E$2:$E$1048791,MATCH($Q372,DFD!$B$2:$B$1048791,0)),"")</f>
        <v/>
      </c>
      <c r="X372" s="84" t="str">
        <f t="array" ref="X372">IFERROR(INDEX(DFD!$K$2:$K$1048791,MATCH($Q372,DFD!$B$2:$B$1048791,0)),"")</f>
        <v/>
      </c>
      <c r="Y372" s="84" t="str">
        <f t="array" ref="Y372">IFERROR(INDEX(DFD!$L$2:$L$1048790,MATCH($Q372,DFD!$B$2:$B$1048790,0)),"")</f>
        <v/>
      </c>
      <c r="Z372" s="84">
        <f t="shared" si="12"/>
        <v>45</v>
      </c>
      <c r="AA372" s="59"/>
      <c r="AB372" s="59" t="s">
        <v>72</v>
      </c>
      <c r="AC372" s="59"/>
      <c r="AD372" s="85">
        <v>46043.0</v>
      </c>
      <c r="AE372" s="86">
        <f t="shared" si="8"/>
        <v>1</v>
      </c>
    </row>
    <row r="373" ht="15.75" customHeight="1">
      <c r="A373" s="92" t="s">
        <v>1381</v>
      </c>
      <c r="B373" s="87" t="s">
        <v>101</v>
      </c>
      <c r="C373" s="88" t="s">
        <v>1375</v>
      </c>
      <c r="D373" s="88" t="s">
        <v>51</v>
      </c>
      <c r="E373" s="88">
        <v>5.0</v>
      </c>
      <c r="F373" s="89">
        <v>610000.0</v>
      </c>
      <c r="G373" s="90" t="s">
        <v>53</v>
      </c>
      <c r="H373" s="91">
        <v>46266.0</v>
      </c>
      <c r="I373" s="92" t="s">
        <v>17</v>
      </c>
      <c r="J373" s="92" t="s">
        <v>54</v>
      </c>
      <c r="K373" s="92" t="s">
        <v>380</v>
      </c>
      <c r="L373" s="92" t="s">
        <v>67</v>
      </c>
      <c r="M373" s="90" t="s">
        <v>1376</v>
      </c>
      <c r="N373" s="92" t="s">
        <v>20</v>
      </c>
      <c r="O373" s="87" t="s">
        <v>69</v>
      </c>
      <c r="P373" s="87"/>
      <c r="Q373" s="87" t="s">
        <v>1382</v>
      </c>
      <c r="R373" s="93" t="s">
        <v>382</v>
      </c>
      <c r="S373" s="87"/>
      <c r="T373" s="87"/>
      <c r="U373" s="94" t="str">
        <f t="array" ref="U373">IFERROR(INDEX(DFD!$D$2:$D$1048791,MATCH($Q373,DFD!$B$2:$B$1048791,0)),"")</f>
        <v/>
      </c>
      <c r="V373" s="94" t="str">
        <f t="array" ref="V373">IFERROR(INDEX(DFD!$F$2:$F$1048791,MATCH($Q373,DFD!$B$2:$B$1048791,0)),"")</f>
        <v/>
      </c>
      <c r="W373" s="97" t="str">
        <f t="array" ref="W373">IFERROR(INDEX(DFD!$E$2:$E$1048791,MATCH($Q373,DFD!$B$2:$B$1048791,0)),"")</f>
        <v/>
      </c>
      <c r="X373" s="97" t="str">
        <f t="array" ref="X373">IFERROR(INDEX(DFD!$K$2:$K$1048791,MATCH($Q373,DFD!$B$2:$B$1048791,0)),"")</f>
        <v/>
      </c>
      <c r="Y373" s="97" t="str">
        <f t="array" ref="Y373">IFERROR(INDEX(DFD!$L$2:$L$1048790,MATCH($Q373,DFD!$B$2:$B$1048790,0)),"")</f>
        <v/>
      </c>
      <c r="Z373" s="97">
        <f t="shared" si="12"/>
        <v>45</v>
      </c>
      <c r="AA373" s="87"/>
      <c r="AB373" s="87" t="s">
        <v>72</v>
      </c>
      <c r="AC373" s="87"/>
      <c r="AD373" s="99">
        <v>46043.0</v>
      </c>
      <c r="AE373" s="100">
        <f t="shared" si="8"/>
        <v>1</v>
      </c>
    </row>
    <row r="374" ht="15.75" customHeight="1">
      <c r="A374" s="59" t="s">
        <v>1374</v>
      </c>
      <c r="B374" s="59" t="s">
        <v>101</v>
      </c>
      <c r="C374" s="81" t="s">
        <v>1375</v>
      </c>
      <c r="D374" s="60" t="s">
        <v>51</v>
      </c>
      <c r="E374" s="60">
        <v>1.0</v>
      </c>
      <c r="F374" s="72">
        <v>65550.0</v>
      </c>
      <c r="G374" s="73" t="s">
        <v>53</v>
      </c>
      <c r="H374" s="74">
        <v>46266.0</v>
      </c>
      <c r="I374" s="67" t="s">
        <v>17</v>
      </c>
      <c r="J374" s="67" t="s">
        <v>54</v>
      </c>
      <c r="K374" s="67" t="s">
        <v>380</v>
      </c>
      <c r="L374" s="67" t="s">
        <v>56</v>
      </c>
      <c r="M374" s="73" t="s">
        <v>1376</v>
      </c>
      <c r="N374" s="67" t="s">
        <v>5</v>
      </c>
      <c r="O374" s="59" t="s">
        <v>69</v>
      </c>
      <c r="P374" s="59"/>
      <c r="Q374" s="59" t="s">
        <v>1382</v>
      </c>
      <c r="R374" s="76" t="s">
        <v>382</v>
      </c>
      <c r="S374" s="59"/>
      <c r="T374" s="59"/>
      <c r="U374" s="77" t="str">
        <f t="array" ref="U374">IFERROR(INDEX(DFD!$D$2:$D$1048791,MATCH($Q374,DFD!$B$2:$B$1048791,0)),"")</f>
        <v/>
      </c>
      <c r="V374" s="77" t="str">
        <f t="array" ref="V374">IFERROR(INDEX(DFD!$F$2:$F$1048791,MATCH($Q374,DFD!$B$2:$B$1048791,0)),"")</f>
        <v/>
      </c>
      <c r="W374" s="84" t="str">
        <f t="array" ref="W374">IFERROR(INDEX(DFD!$E$2:$E$1048791,MATCH($Q374,DFD!$B$2:$B$1048791,0)),"")</f>
        <v/>
      </c>
      <c r="X374" s="84" t="str">
        <f t="array" ref="X374">IFERROR(INDEX(DFD!$K$2:$K$1048791,MATCH($Q374,DFD!$B$2:$B$1048791,0)),"")</f>
        <v/>
      </c>
      <c r="Y374" s="84" t="str">
        <f t="array" ref="Y374">IFERROR(INDEX(DFD!$L$2:$L$1048790,MATCH($Q374,DFD!$B$2:$B$1048790,0)),"")</f>
        <v/>
      </c>
      <c r="Z374" s="84">
        <f t="shared" si="12"/>
        <v>45</v>
      </c>
      <c r="AA374" s="59"/>
      <c r="AB374" s="59" t="s">
        <v>72</v>
      </c>
      <c r="AC374" s="59"/>
      <c r="AD374" s="85">
        <v>46043.0</v>
      </c>
      <c r="AE374" s="86">
        <f t="shared" si="8"/>
        <v>1</v>
      </c>
    </row>
    <row r="375" ht="15.75" customHeight="1">
      <c r="A375" s="87" t="s">
        <v>1383</v>
      </c>
      <c r="B375" s="87" t="s">
        <v>52</v>
      </c>
      <c r="C375" s="88" t="s">
        <v>1384</v>
      </c>
      <c r="D375" s="88" t="s">
        <v>51</v>
      </c>
      <c r="E375" s="88">
        <v>1.0</v>
      </c>
      <c r="F375" s="89">
        <v>5000.0</v>
      </c>
      <c r="G375" s="90" t="s">
        <v>53</v>
      </c>
      <c r="H375" s="91">
        <v>46204.0</v>
      </c>
      <c r="I375" s="92" t="s">
        <v>17</v>
      </c>
      <c r="J375" s="92" t="s">
        <v>54</v>
      </c>
      <c r="K375" s="92" t="s">
        <v>55</v>
      </c>
      <c r="L375" s="92" t="s">
        <v>56</v>
      </c>
      <c r="M375" s="90" t="s">
        <v>132</v>
      </c>
      <c r="N375" s="92" t="s">
        <v>58</v>
      </c>
      <c r="O375" s="92" t="s">
        <v>89</v>
      </c>
      <c r="P375" s="87"/>
      <c r="Q375" s="87" t="s">
        <v>52</v>
      </c>
      <c r="R375" s="93" t="s">
        <v>61</v>
      </c>
      <c r="S375" s="87"/>
      <c r="T375" s="87"/>
      <c r="U375" s="94" t="str">
        <f t="array" ref="U375">IFERROR(INDEX(DFD!$D$2:$D$1048791,MATCH($Q375,DFD!$B$2:$B$1048791,0)),"")</f>
        <v/>
      </c>
      <c r="V375" s="94" t="str">
        <f t="array" ref="V375">IFERROR(INDEX(DFD!$F$2:$F$1048791,MATCH($Q375,DFD!$B$2:$B$1048791,0)),"")</f>
        <v/>
      </c>
      <c r="W375" s="97" t="str">
        <f t="array" ref="W375">IFERROR(INDEX(DFD!$E$2:$E$1048791,MATCH($Q375,DFD!$B$2:$B$1048791,0)),"")</f>
        <v/>
      </c>
      <c r="X375" s="97" t="str">
        <f t="array" ref="X375">IFERROR(INDEX(DFD!$K$2:$K$1048791,MATCH($Q375,DFD!$B$2:$B$1048791,0)),"")</f>
        <v/>
      </c>
      <c r="Y375" s="97" t="str">
        <f t="array" ref="Y375">IFERROR(INDEX(DFD!$L$2:$L$1048790,MATCH($Q375,DFD!$B$2:$B$1048790,0)),"")</f>
        <v/>
      </c>
      <c r="Z375" s="97">
        <f t="shared" si="12"/>
        <v>45</v>
      </c>
      <c r="AA375" s="87"/>
      <c r="AB375" s="87" t="s">
        <v>72</v>
      </c>
      <c r="AC375" s="87"/>
      <c r="AD375" s="99">
        <v>46043.0</v>
      </c>
      <c r="AE375" s="100">
        <f t="shared" si="8"/>
        <v>1</v>
      </c>
    </row>
    <row r="376" ht="15.75" customHeight="1">
      <c r="A376" s="67" t="s">
        <v>1385</v>
      </c>
      <c r="B376" s="59" t="s">
        <v>155</v>
      </c>
      <c r="C376" s="60" t="s">
        <v>1386</v>
      </c>
      <c r="D376" s="60" t="s">
        <v>51</v>
      </c>
      <c r="E376" s="60">
        <v>1.0</v>
      </c>
      <c r="F376" s="72">
        <v>3000.0</v>
      </c>
      <c r="G376" s="73" t="s">
        <v>53</v>
      </c>
      <c r="H376" s="74">
        <v>46031.0</v>
      </c>
      <c r="I376" s="67" t="s">
        <v>17</v>
      </c>
      <c r="J376" s="67" t="s">
        <v>54</v>
      </c>
      <c r="K376" s="67" t="s">
        <v>372</v>
      </c>
      <c r="L376" s="67" t="s">
        <v>67</v>
      </c>
      <c r="M376" s="73" t="s">
        <v>117</v>
      </c>
      <c r="N376" s="67" t="s">
        <v>20</v>
      </c>
      <c r="O376" s="59" t="s">
        <v>69</v>
      </c>
      <c r="P376" s="59"/>
      <c r="Q376" s="59" t="s">
        <v>1387</v>
      </c>
      <c r="R376" s="76" t="s">
        <v>61</v>
      </c>
      <c r="S376" s="59"/>
      <c r="T376" s="59"/>
      <c r="U376" s="77" t="str">
        <f t="array" ref="U376">IFERROR(INDEX(DFD!$D$2:$D$1048791,MATCH($Q376,DFD!$B$2:$B$1048791,0)),"")</f>
        <v/>
      </c>
      <c r="V376" s="77" t="str">
        <f t="array" ref="V376">IFERROR(INDEX(DFD!$F$2:$F$1048791,MATCH($Q376,DFD!$B$2:$B$1048791,0)),"")</f>
        <v/>
      </c>
      <c r="W376" s="84" t="str">
        <f t="array" ref="W376">IFERROR(INDEX(DFD!$E$2:$E$1048791,MATCH($Q376,DFD!$B$2:$B$1048791,0)),"")</f>
        <v/>
      </c>
      <c r="X376" s="84" t="str">
        <f t="array" ref="X376">IFERROR(INDEX(DFD!$K$2:$K$1048791,MATCH($Q376,DFD!$B$2:$B$1048791,0)),"")</f>
        <v/>
      </c>
      <c r="Y376" s="84" t="str">
        <f t="array" ref="Y376">IFERROR(INDEX(DFD!$L$2:$L$1048790,MATCH($Q376,DFD!$B$2:$B$1048790,0)),"")</f>
        <v/>
      </c>
      <c r="Z376" s="84">
        <f t="shared" si="12"/>
        <v>45</v>
      </c>
      <c r="AA376" s="59"/>
      <c r="AB376" s="59" t="s">
        <v>78</v>
      </c>
      <c r="AC376" s="59"/>
      <c r="AD376" s="85">
        <v>46043.0</v>
      </c>
      <c r="AE376" s="86">
        <f t="shared" si="8"/>
        <v>1</v>
      </c>
    </row>
    <row r="377" ht="15.75" customHeight="1">
      <c r="A377" s="87" t="s">
        <v>1388</v>
      </c>
      <c r="B377" s="87" t="s">
        <v>355</v>
      </c>
      <c r="C377" s="88" t="s">
        <v>1389</v>
      </c>
      <c r="D377" s="88" t="s">
        <v>51</v>
      </c>
      <c r="E377" s="88">
        <v>10.0</v>
      </c>
      <c r="F377" s="89">
        <v>30000.0</v>
      </c>
      <c r="G377" s="90" t="s">
        <v>53</v>
      </c>
      <c r="H377" s="91">
        <v>46235.0</v>
      </c>
      <c r="I377" s="92" t="s">
        <v>17</v>
      </c>
      <c r="J377" s="92" t="s">
        <v>54</v>
      </c>
      <c r="K377" s="92" t="s">
        <v>66</v>
      </c>
      <c r="L377" s="92" t="s">
        <v>56</v>
      </c>
      <c r="M377" s="90" t="s">
        <v>112</v>
      </c>
      <c r="N377" s="92" t="s">
        <v>58</v>
      </c>
      <c r="O377" s="87" t="s">
        <v>69</v>
      </c>
      <c r="P377" s="87"/>
      <c r="Q377" s="87" t="s">
        <v>52</v>
      </c>
      <c r="R377" s="93" t="s">
        <v>71</v>
      </c>
      <c r="S377" s="87"/>
      <c r="T377" s="87"/>
      <c r="U377" s="94" t="str">
        <f t="array" ref="U377">IFERROR(INDEX(DFD!$D$2:$D$1048791,MATCH($Q377,DFD!$B$2:$B$1048791,0)),"")</f>
        <v/>
      </c>
      <c r="V377" s="94" t="str">
        <f t="array" ref="V377">IFERROR(INDEX(DFD!$F$2:$F$1048791,MATCH($Q377,DFD!$B$2:$B$1048791,0)),"")</f>
        <v/>
      </c>
      <c r="W377" s="97" t="str">
        <f t="array" ref="W377">IFERROR(INDEX(DFD!$E$2:$E$1048791,MATCH($Q377,DFD!$B$2:$B$1048791,0)),"")</f>
        <v/>
      </c>
      <c r="X377" s="97" t="str">
        <f t="array" ref="X377">IFERROR(INDEX(DFD!$K$2:$K$1048791,MATCH($Q377,DFD!$B$2:$B$1048791,0)),"")</f>
        <v/>
      </c>
      <c r="Y377" s="97" t="str">
        <f t="array" ref="Y377">IFERROR(INDEX(DFD!$L$2:$L$1048790,MATCH($Q377,DFD!$B$2:$B$1048790,0)),"")</f>
        <v/>
      </c>
      <c r="Z377" s="97">
        <f t="shared" si="12"/>
        <v>45</v>
      </c>
      <c r="AA377" s="87"/>
      <c r="AB377" s="87" t="s">
        <v>72</v>
      </c>
      <c r="AC377" s="87"/>
      <c r="AD377" s="99">
        <v>46043.0</v>
      </c>
      <c r="AE377" s="100">
        <f t="shared" si="8"/>
        <v>1</v>
      </c>
    </row>
    <row r="378" ht="15.75" customHeight="1">
      <c r="A378" s="67" t="s">
        <v>1390</v>
      </c>
      <c r="B378" s="71" t="s">
        <v>184</v>
      </c>
      <c r="C378" s="60" t="s">
        <v>1391</v>
      </c>
      <c r="D378" s="60" t="s">
        <v>51</v>
      </c>
      <c r="E378" s="60">
        <v>300.0</v>
      </c>
      <c r="F378" s="72">
        <v>4470.0</v>
      </c>
      <c r="G378" s="73" t="s">
        <v>53</v>
      </c>
      <c r="H378" s="74">
        <v>46204.0</v>
      </c>
      <c r="I378" s="67" t="s">
        <v>17</v>
      </c>
      <c r="J378" s="67" t="s">
        <v>54</v>
      </c>
      <c r="K378" s="67" t="s">
        <v>66</v>
      </c>
      <c r="L378" s="67" t="s">
        <v>67</v>
      </c>
      <c r="M378" s="73" t="s">
        <v>167</v>
      </c>
      <c r="N378" s="67" t="s">
        <v>20</v>
      </c>
      <c r="O378" s="67" t="s">
        <v>89</v>
      </c>
      <c r="P378" s="59"/>
      <c r="Q378" s="59" t="s">
        <v>1392</v>
      </c>
      <c r="R378" s="76" t="s">
        <v>373</v>
      </c>
      <c r="S378" s="59"/>
      <c r="T378" s="59"/>
      <c r="U378" s="77" t="str">
        <f t="array" ref="U378">IFERROR(INDEX(DFD!$D$2:$D$1048791,MATCH($Q378,DFD!$B$2:$B$1048791,0)),"")</f>
        <v/>
      </c>
      <c r="V378" s="77" t="s">
        <v>280</v>
      </c>
      <c r="W378" s="84" t="str">
        <f t="array" ref="W378">IFERROR(INDEX(DFD!$E$2:$E$1048791,MATCH($Q378,DFD!$B$2:$B$1048791,0)),"")</f>
        <v/>
      </c>
      <c r="X378" s="84" t="str">
        <f t="array" ref="X378">IFERROR(INDEX(DFD!$K$2:$K$1048791,MATCH($Q378,DFD!$B$2:$B$1048791,0)),"")</f>
        <v/>
      </c>
      <c r="Y378" s="84" t="str">
        <f t="array" ref="Y378">IFERROR(INDEX(DFD!$L$2:$L$1048790,MATCH($Q378,DFD!$B$2:$B$1048790,0)),"")</f>
        <v/>
      </c>
      <c r="Z378" s="84">
        <f t="shared" si="12"/>
        <v>45</v>
      </c>
      <c r="AA378" s="59"/>
      <c r="AB378" s="59" t="s">
        <v>78</v>
      </c>
      <c r="AC378" s="59"/>
      <c r="AD378" s="85">
        <v>46043.0</v>
      </c>
      <c r="AE378" s="86">
        <f t="shared" si="8"/>
        <v>1</v>
      </c>
    </row>
    <row r="379" ht="15.75" customHeight="1">
      <c r="A379" s="87" t="s">
        <v>1393</v>
      </c>
      <c r="B379" s="87" t="s">
        <v>148</v>
      </c>
      <c r="C379" s="88" t="s">
        <v>1391</v>
      </c>
      <c r="D379" s="88" t="s">
        <v>51</v>
      </c>
      <c r="E379" s="88">
        <v>100.0</v>
      </c>
      <c r="F379" s="89">
        <v>4000.0</v>
      </c>
      <c r="G379" s="90" t="s">
        <v>53</v>
      </c>
      <c r="H379" s="91">
        <v>46204.0</v>
      </c>
      <c r="I379" s="92" t="s">
        <v>17</v>
      </c>
      <c r="J379" s="92" t="s">
        <v>54</v>
      </c>
      <c r="K379" s="92" t="s">
        <v>66</v>
      </c>
      <c r="L379" s="92" t="s">
        <v>67</v>
      </c>
      <c r="M379" s="90" t="s">
        <v>132</v>
      </c>
      <c r="N379" s="92" t="s">
        <v>5</v>
      </c>
      <c r="O379" s="87" t="s">
        <v>69</v>
      </c>
      <c r="P379" s="87"/>
      <c r="Q379" s="87" t="s">
        <v>1392</v>
      </c>
      <c r="R379" s="93" t="s">
        <v>373</v>
      </c>
      <c r="S379" s="87"/>
      <c r="T379" s="87"/>
      <c r="U379" s="94" t="str">
        <f t="array" ref="U379">IFERROR(INDEX(DFD!$D$2:$D$1048791,MATCH($Q379,DFD!$B$2:$B$1048791,0)),"")</f>
        <v/>
      </c>
      <c r="V379" s="94" t="s">
        <v>280</v>
      </c>
      <c r="W379" s="97" t="str">
        <f t="array" ref="W379">IFERROR(INDEX(DFD!$E$2:$E$1048791,MATCH($Q379,DFD!$B$2:$B$1048791,0)),"")</f>
        <v/>
      </c>
      <c r="X379" s="97" t="str">
        <f t="array" ref="X379">IFERROR(INDEX(DFD!$K$2:$K$1048791,MATCH($Q379,DFD!$B$2:$B$1048791,0)),"")</f>
        <v/>
      </c>
      <c r="Y379" s="97" t="str">
        <f t="array" ref="Y379">IFERROR(INDEX(DFD!$L$2:$L$1048790,MATCH($Q379,DFD!$B$2:$B$1048790,0)),"")</f>
        <v/>
      </c>
      <c r="Z379" s="97">
        <f t="shared" si="12"/>
        <v>45</v>
      </c>
      <c r="AA379" s="87"/>
      <c r="AB379" s="87" t="s">
        <v>78</v>
      </c>
      <c r="AC379" s="87"/>
      <c r="AD379" s="99">
        <v>46043.0</v>
      </c>
      <c r="AE379" s="100">
        <f t="shared" si="8"/>
        <v>1</v>
      </c>
    </row>
    <row r="380" ht="15.75" customHeight="1">
      <c r="A380" s="59" t="s">
        <v>1394</v>
      </c>
      <c r="B380" s="59" t="s">
        <v>94</v>
      </c>
      <c r="C380" s="60" t="s">
        <v>1391</v>
      </c>
      <c r="D380" s="60" t="s">
        <v>51</v>
      </c>
      <c r="E380" s="60">
        <v>100.0</v>
      </c>
      <c r="F380" s="72">
        <v>1490.0</v>
      </c>
      <c r="G380" s="73" t="s">
        <v>53</v>
      </c>
      <c r="H380" s="74">
        <v>46174.0</v>
      </c>
      <c r="I380" s="67" t="s">
        <v>17</v>
      </c>
      <c r="J380" s="67" t="s">
        <v>54</v>
      </c>
      <c r="K380" s="67" t="s">
        <v>66</v>
      </c>
      <c r="L380" s="67" t="s">
        <v>67</v>
      </c>
      <c r="M380" s="73" t="s">
        <v>167</v>
      </c>
      <c r="N380" s="67" t="s">
        <v>5</v>
      </c>
      <c r="O380" s="59" t="s">
        <v>69</v>
      </c>
      <c r="P380" s="59"/>
      <c r="Q380" s="59" t="s">
        <v>1392</v>
      </c>
      <c r="R380" s="76" t="s">
        <v>373</v>
      </c>
      <c r="S380" s="59"/>
      <c r="T380" s="59"/>
      <c r="U380" s="77" t="str">
        <f t="array" ref="U380">IFERROR(INDEX(DFD!$D$2:$D$1048791,MATCH($Q380,DFD!$B$2:$B$1048791,0)),"")</f>
        <v/>
      </c>
      <c r="V380" s="77" t="s">
        <v>280</v>
      </c>
      <c r="W380" s="84" t="str">
        <f t="array" ref="W380">IFERROR(INDEX(DFD!$E$2:$E$1048791,MATCH($Q380,DFD!$B$2:$B$1048791,0)),"")</f>
        <v/>
      </c>
      <c r="X380" s="84" t="str">
        <f t="array" ref="X380">IFERROR(INDEX(DFD!$K$2:$K$1048791,MATCH($Q380,DFD!$B$2:$B$1048791,0)),"")</f>
        <v/>
      </c>
      <c r="Y380" s="84" t="str">
        <f t="array" ref="Y380">IFERROR(INDEX(DFD!$L$2:$L$1048790,MATCH($Q380,DFD!$B$2:$B$1048790,0)),"")</f>
        <v/>
      </c>
      <c r="Z380" s="84">
        <f t="shared" si="12"/>
        <v>45</v>
      </c>
      <c r="AA380" s="59"/>
      <c r="AB380" s="59" t="s">
        <v>78</v>
      </c>
      <c r="AC380" s="59"/>
      <c r="AD380" s="85">
        <v>46043.0</v>
      </c>
      <c r="AE380" s="86">
        <f t="shared" si="8"/>
        <v>1</v>
      </c>
    </row>
    <row r="381" ht="15.75" customHeight="1">
      <c r="A381" s="87" t="s">
        <v>1395</v>
      </c>
      <c r="B381" s="87" t="s">
        <v>107</v>
      </c>
      <c r="C381" s="88" t="s">
        <v>1391</v>
      </c>
      <c r="D381" s="88" t="s">
        <v>51</v>
      </c>
      <c r="E381" s="88">
        <v>20.0</v>
      </c>
      <c r="F381" s="89">
        <v>298.0</v>
      </c>
      <c r="G381" s="90" t="s">
        <v>53</v>
      </c>
      <c r="H381" s="91">
        <v>46174.0</v>
      </c>
      <c r="I381" s="92" t="s">
        <v>17</v>
      </c>
      <c r="J381" s="92" t="s">
        <v>54</v>
      </c>
      <c r="K381" s="92" t="s">
        <v>66</v>
      </c>
      <c r="L381" s="92" t="s">
        <v>67</v>
      </c>
      <c r="M381" s="90" t="s">
        <v>167</v>
      </c>
      <c r="N381" s="92" t="s">
        <v>5</v>
      </c>
      <c r="O381" s="92" t="s">
        <v>89</v>
      </c>
      <c r="P381" s="87"/>
      <c r="Q381" s="87" t="s">
        <v>1392</v>
      </c>
      <c r="R381" s="93" t="s">
        <v>373</v>
      </c>
      <c r="S381" s="87"/>
      <c r="T381" s="87"/>
      <c r="U381" s="94" t="str">
        <f t="array" ref="U381">IFERROR(INDEX(DFD!$D$2:$D$1048791,MATCH($Q381,DFD!$B$2:$B$1048791,0)),"")</f>
        <v/>
      </c>
      <c r="V381" s="94" t="s">
        <v>280</v>
      </c>
      <c r="W381" s="97" t="str">
        <f t="array" ref="W381">IFERROR(INDEX(DFD!$E$2:$E$1048791,MATCH($Q381,DFD!$B$2:$B$1048791,0)),"")</f>
        <v/>
      </c>
      <c r="X381" s="97" t="str">
        <f t="array" ref="X381">IFERROR(INDEX(DFD!$K$2:$K$1048791,MATCH($Q381,DFD!$B$2:$B$1048791,0)),"")</f>
        <v/>
      </c>
      <c r="Y381" s="97" t="str">
        <f t="array" ref="Y381">IFERROR(INDEX(DFD!$L$2:$L$1048790,MATCH($Q381,DFD!$B$2:$B$1048790,0)),"")</f>
        <v/>
      </c>
      <c r="Z381" s="97">
        <f t="shared" si="12"/>
        <v>45</v>
      </c>
      <c r="AA381" s="87"/>
      <c r="AB381" s="87" t="s">
        <v>78</v>
      </c>
      <c r="AC381" s="87"/>
      <c r="AD381" s="99">
        <v>46043.0</v>
      </c>
      <c r="AE381" s="100">
        <f t="shared" si="8"/>
        <v>1</v>
      </c>
    </row>
    <row r="382" ht="15.75" customHeight="1">
      <c r="A382" s="59" t="s">
        <v>1396</v>
      </c>
      <c r="B382" s="59" t="s">
        <v>98</v>
      </c>
      <c r="C382" s="60" t="s">
        <v>1391</v>
      </c>
      <c r="D382" s="60" t="s">
        <v>51</v>
      </c>
      <c r="E382" s="60">
        <v>6.0</v>
      </c>
      <c r="F382" s="72">
        <v>240.0</v>
      </c>
      <c r="G382" s="73" t="s">
        <v>53</v>
      </c>
      <c r="H382" s="74">
        <v>46143.0</v>
      </c>
      <c r="I382" s="67" t="s">
        <v>17</v>
      </c>
      <c r="J382" s="67" t="s">
        <v>54</v>
      </c>
      <c r="K382" s="67" t="s">
        <v>66</v>
      </c>
      <c r="L382" s="67" t="s">
        <v>67</v>
      </c>
      <c r="M382" s="73" t="s">
        <v>132</v>
      </c>
      <c r="N382" s="67" t="s">
        <v>5</v>
      </c>
      <c r="O382" s="59" t="s">
        <v>69</v>
      </c>
      <c r="P382" s="59"/>
      <c r="Q382" s="59" t="s">
        <v>1392</v>
      </c>
      <c r="R382" s="76" t="s">
        <v>373</v>
      </c>
      <c r="S382" s="59"/>
      <c r="T382" s="59"/>
      <c r="U382" s="77" t="str">
        <f t="array" ref="U382">IFERROR(INDEX(DFD!$D$2:$D$1048791,MATCH($Q382,DFD!$B$2:$B$1048791,0)),"")</f>
        <v/>
      </c>
      <c r="V382" s="77" t="s">
        <v>280</v>
      </c>
      <c r="W382" s="84" t="str">
        <f t="array" ref="W382">IFERROR(INDEX(DFD!$E$2:$E$1048791,MATCH($Q382,DFD!$B$2:$B$1048791,0)),"")</f>
        <v/>
      </c>
      <c r="X382" s="84" t="str">
        <f t="array" ref="X382">IFERROR(INDEX(DFD!$K$2:$K$1048791,MATCH($Q382,DFD!$B$2:$B$1048791,0)),"")</f>
        <v/>
      </c>
      <c r="Y382" s="84" t="str">
        <f t="array" ref="Y382">IFERROR(INDEX(DFD!$L$2:$L$1048790,MATCH($Q382,DFD!$B$2:$B$1048790,0)),"")</f>
        <v/>
      </c>
      <c r="Z382" s="84">
        <f t="shared" si="12"/>
        <v>45</v>
      </c>
      <c r="AA382" s="59"/>
      <c r="AB382" s="59" t="s">
        <v>78</v>
      </c>
      <c r="AC382" s="59"/>
      <c r="AD382" s="85">
        <v>46043.0</v>
      </c>
      <c r="AE382" s="86">
        <f t="shared" si="8"/>
        <v>1</v>
      </c>
    </row>
    <row r="383" ht="15.75" customHeight="1">
      <c r="A383" s="92" t="s">
        <v>1397</v>
      </c>
      <c r="B383" s="87" t="s">
        <v>184</v>
      </c>
      <c r="C383" s="88" t="s">
        <v>1398</v>
      </c>
      <c r="D383" s="88" t="s">
        <v>51</v>
      </c>
      <c r="E383" s="88">
        <v>60.0</v>
      </c>
      <c r="F383" s="89">
        <v>510.0</v>
      </c>
      <c r="G383" s="90" t="s">
        <v>53</v>
      </c>
      <c r="H383" s="91">
        <v>46174.0</v>
      </c>
      <c r="I383" s="92" t="s">
        <v>17</v>
      </c>
      <c r="J383" s="92" t="s">
        <v>54</v>
      </c>
      <c r="K383" s="92" t="s">
        <v>66</v>
      </c>
      <c r="L383" s="92" t="s">
        <v>67</v>
      </c>
      <c r="M383" s="90" t="s">
        <v>167</v>
      </c>
      <c r="N383" s="92" t="s">
        <v>20</v>
      </c>
      <c r="O383" s="87" t="s">
        <v>69</v>
      </c>
      <c r="P383" s="87"/>
      <c r="Q383" s="87" t="s">
        <v>1399</v>
      </c>
      <c r="R383" s="93" t="s">
        <v>187</v>
      </c>
      <c r="S383" s="87"/>
      <c r="T383" s="87"/>
      <c r="U383" s="94" t="str">
        <f t="array" ref="U383">IFERROR(INDEX(DFD!$D$2:$D$1048791,MATCH($Q383,DFD!$B$2:$B$1048791,0)),"")</f>
        <v/>
      </c>
      <c r="V383" s="94" t="str">
        <f t="array" ref="V383">IFERROR(INDEX(DFD!$F$2:$F$1048791,MATCH($Q383,DFD!$B$2:$B$1048791,0)),"")</f>
        <v/>
      </c>
      <c r="W383" s="97" t="str">
        <f t="array" ref="W383">IFERROR(INDEX(DFD!$E$2:$E$1048791,MATCH($Q383,DFD!$B$2:$B$1048791,0)),"")</f>
        <v/>
      </c>
      <c r="X383" s="97" t="str">
        <f t="array" ref="X383">IFERROR(INDEX(DFD!$K$2:$K$1048791,MATCH($Q383,DFD!$B$2:$B$1048791,0)),"")</f>
        <v/>
      </c>
      <c r="Y383" s="97" t="str">
        <f t="array" ref="Y383">IFERROR(INDEX(DFD!$L$2:$L$1048790,MATCH($Q383,DFD!$B$2:$B$1048790,0)),"")</f>
        <v/>
      </c>
      <c r="Z383" s="97">
        <f t="shared" si="12"/>
        <v>45</v>
      </c>
      <c r="AA383" s="87"/>
      <c r="AB383" s="87" t="s">
        <v>78</v>
      </c>
      <c r="AC383" s="87"/>
      <c r="AD383" s="99">
        <v>46043.0</v>
      </c>
      <c r="AE383" s="100">
        <f t="shared" si="8"/>
        <v>1</v>
      </c>
    </row>
    <row r="384" ht="15.75" customHeight="1">
      <c r="A384" s="67" t="s">
        <v>1400</v>
      </c>
      <c r="B384" s="59" t="s">
        <v>184</v>
      </c>
      <c r="C384" s="60" t="s">
        <v>1401</v>
      </c>
      <c r="D384" s="60" t="s">
        <v>51</v>
      </c>
      <c r="E384" s="60">
        <v>30.0</v>
      </c>
      <c r="F384" s="72">
        <v>420.0</v>
      </c>
      <c r="G384" s="73" t="s">
        <v>53</v>
      </c>
      <c r="H384" s="74">
        <v>46174.0</v>
      </c>
      <c r="I384" s="67" t="s">
        <v>17</v>
      </c>
      <c r="J384" s="67" t="s">
        <v>54</v>
      </c>
      <c r="K384" s="67" t="s">
        <v>66</v>
      </c>
      <c r="L384" s="67" t="s">
        <v>67</v>
      </c>
      <c r="M384" s="73" t="s">
        <v>167</v>
      </c>
      <c r="N384" s="67" t="s">
        <v>20</v>
      </c>
      <c r="O384" s="67" t="s">
        <v>89</v>
      </c>
      <c r="P384" s="59"/>
      <c r="Q384" s="59" t="s">
        <v>1399</v>
      </c>
      <c r="R384" s="76" t="s">
        <v>187</v>
      </c>
      <c r="S384" s="59"/>
      <c r="T384" s="59"/>
      <c r="U384" s="77" t="str">
        <f t="array" ref="U384">IFERROR(INDEX(DFD!$D$2:$D$1048791,MATCH($Q384,DFD!$B$2:$B$1048791,0)),"")</f>
        <v/>
      </c>
      <c r="V384" s="77" t="str">
        <f t="array" ref="V384">IFERROR(INDEX(DFD!$F$2:$F$1048791,MATCH($Q384,DFD!$B$2:$B$1048791,0)),"")</f>
        <v/>
      </c>
      <c r="W384" s="84" t="str">
        <f t="array" ref="W384">IFERROR(INDEX(DFD!$E$2:$E$1048791,MATCH($Q384,DFD!$B$2:$B$1048791,0)),"")</f>
        <v/>
      </c>
      <c r="X384" s="84" t="str">
        <f t="array" ref="X384">IFERROR(INDEX(DFD!$K$2:$K$1048791,MATCH($Q384,DFD!$B$2:$B$1048791,0)),"")</f>
        <v/>
      </c>
      <c r="Y384" s="84" t="str">
        <f t="array" ref="Y384">IFERROR(INDEX(DFD!$L$2:$L$1048790,MATCH($Q384,DFD!$B$2:$B$1048790,0)),"")</f>
        <v/>
      </c>
      <c r="Z384" s="84">
        <f t="shared" si="12"/>
        <v>45</v>
      </c>
      <c r="AA384" s="59"/>
      <c r="AB384" s="59" t="s">
        <v>78</v>
      </c>
      <c r="AC384" s="59"/>
      <c r="AD384" s="85">
        <v>46043.0</v>
      </c>
      <c r="AE384" s="86">
        <f t="shared" si="8"/>
        <v>1</v>
      </c>
    </row>
    <row r="385" ht="33.0" customHeight="1">
      <c r="A385" s="92" t="s">
        <v>1402</v>
      </c>
      <c r="B385" s="87" t="s">
        <v>184</v>
      </c>
      <c r="C385" s="88" t="s">
        <v>1403</v>
      </c>
      <c r="D385" s="88" t="s">
        <v>51</v>
      </c>
      <c r="E385" s="88">
        <v>1500.0</v>
      </c>
      <c r="F385" s="89">
        <v>7500.0</v>
      </c>
      <c r="G385" s="90" t="s">
        <v>53</v>
      </c>
      <c r="H385" s="91">
        <v>46204.0</v>
      </c>
      <c r="I385" s="92" t="s">
        <v>17</v>
      </c>
      <c r="J385" s="92" t="s">
        <v>54</v>
      </c>
      <c r="K385" s="92" t="s">
        <v>66</v>
      </c>
      <c r="L385" s="92" t="s">
        <v>67</v>
      </c>
      <c r="M385" s="90" t="s">
        <v>167</v>
      </c>
      <c r="N385" s="92" t="s">
        <v>20</v>
      </c>
      <c r="O385" s="87" t="s">
        <v>69</v>
      </c>
      <c r="P385" s="87"/>
      <c r="Q385" s="87" t="s">
        <v>191</v>
      </c>
      <c r="R385" s="93" t="s">
        <v>187</v>
      </c>
      <c r="S385" s="87"/>
      <c r="T385" s="87"/>
      <c r="U385" s="94" t="str">
        <f t="array" ref="U385">IFERROR(INDEX(DFD!$D$2:$D$1048791,MATCH($Q385,DFD!$B$2:$B$1048791,0)),"")</f>
        <v/>
      </c>
      <c r="V385" s="94" t="str">
        <f t="array" ref="V385">IFERROR(INDEX(DFD!$F$2:$F$1048791,MATCH($Q385,DFD!$B$2:$B$1048791,0)),"")</f>
        <v/>
      </c>
      <c r="W385" s="97" t="str">
        <f t="array" ref="W385">IFERROR(INDEX(DFD!$E$2:$E$1048791,MATCH($Q385,DFD!$B$2:$B$1048791,0)),"")</f>
        <v/>
      </c>
      <c r="X385" s="97" t="str">
        <f t="array" ref="X385">IFERROR(INDEX(DFD!$K$2:$K$1048791,MATCH($Q385,DFD!$B$2:$B$1048791,0)),"")</f>
        <v/>
      </c>
      <c r="Y385" s="97" t="str">
        <f t="array" ref="Y385">IFERROR(INDEX(DFD!$L$2:$L$1048790,MATCH($Q385,DFD!$B$2:$B$1048790,0)),"")</f>
        <v/>
      </c>
      <c r="Z385" s="97">
        <f t="shared" si="12"/>
        <v>45</v>
      </c>
      <c r="AA385" s="87"/>
      <c r="AB385" s="87" t="s">
        <v>78</v>
      </c>
      <c r="AC385" s="87"/>
      <c r="AD385" s="99">
        <v>46043.0</v>
      </c>
      <c r="AE385" s="100">
        <f t="shared" si="8"/>
        <v>1</v>
      </c>
    </row>
    <row r="386" ht="15.75" customHeight="1">
      <c r="A386" s="59" t="s">
        <v>1404</v>
      </c>
      <c r="B386" s="59" t="s">
        <v>148</v>
      </c>
      <c r="C386" s="60" t="s">
        <v>1405</v>
      </c>
      <c r="D386" s="60" t="s">
        <v>1406</v>
      </c>
      <c r="E386" s="60">
        <v>5.0</v>
      </c>
      <c r="F386" s="72">
        <v>750.0</v>
      </c>
      <c r="G386" s="73" t="s">
        <v>53</v>
      </c>
      <c r="H386" s="74">
        <v>46174.0</v>
      </c>
      <c r="I386" s="67" t="s">
        <v>17</v>
      </c>
      <c r="J386" s="67" t="s">
        <v>54</v>
      </c>
      <c r="K386" s="67" t="s">
        <v>66</v>
      </c>
      <c r="L386" s="67" t="s">
        <v>67</v>
      </c>
      <c r="M386" s="73" t="s">
        <v>167</v>
      </c>
      <c r="N386" s="67" t="s">
        <v>5</v>
      </c>
      <c r="O386" s="59" t="s">
        <v>69</v>
      </c>
      <c r="P386" s="59"/>
      <c r="Q386" s="59" t="s">
        <v>191</v>
      </c>
      <c r="R386" s="76" t="s">
        <v>187</v>
      </c>
      <c r="S386" s="59"/>
      <c r="T386" s="59"/>
      <c r="U386" s="77" t="str">
        <f t="array" ref="U386">IFERROR(INDEX(DFD!$D$2:$D$1048791,MATCH($Q386,DFD!$B$2:$B$1048791,0)),"")</f>
        <v/>
      </c>
      <c r="V386" s="77" t="str">
        <f t="array" ref="V386">IFERROR(INDEX(DFD!$F$2:$F$1048791,MATCH($Q386,DFD!$B$2:$B$1048791,0)),"")</f>
        <v/>
      </c>
      <c r="W386" s="84" t="str">
        <f t="array" ref="W386">IFERROR(INDEX(DFD!$E$2:$E$1048791,MATCH($Q386,DFD!$B$2:$B$1048791,0)),"")</f>
        <v/>
      </c>
      <c r="X386" s="84" t="str">
        <f t="array" ref="X386">IFERROR(INDEX(DFD!$K$2:$K$1048791,MATCH($Q386,DFD!$B$2:$B$1048791,0)),"")</f>
        <v/>
      </c>
      <c r="Y386" s="84" t="str">
        <f t="array" ref="Y386">IFERROR(INDEX(DFD!$L$2:$L$1048790,MATCH($Q386,DFD!$B$2:$B$1048790,0)),"")</f>
        <v/>
      </c>
      <c r="Z386" s="84">
        <f t="shared" si="12"/>
        <v>45</v>
      </c>
      <c r="AA386" s="59"/>
      <c r="AB386" s="59" t="s">
        <v>78</v>
      </c>
      <c r="AC386" s="59"/>
      <c r="AD386" s="85">
        <v>46043.0</v>
      </c>
      <c r="AE386" s="86">
        <f t="shared" si="8"/>
        <v>1</v>
      </c>
    </row>
    <row r="387" ht="15.75" customHeight="1">
      <c r="A387" s="87" t="s">
        <v>1407</v>
      </c>
      <c r="B387" s="87" t="s">
        <v>52</v>
      </c>
      <c r="C387" s="88" t="s">
        <v>1408</v>
      </c>
      <c r="D387" s="88" t="s">
        <v>51</v>
      </c>
      <c r="E387" s="88">
        <v>100.0</v>
      </c>
      <c r="F387" s="89">
        <v>643000.0</v>
      </c>
      <c r="G387" s="90" t="s">
        <v>53</v>
      </c>
      <c r="H387" s="91">
        <v>46174.0</v>
      </c>
      <c r="I387" s="92" t="s">
        <v>18</v>
      </c>
      <c r="J387" s="92" t="s">
        <v>54</v>
      </c>
      <c r="K387" s="92" t="s">
        <v>83</v>
      </c>
      <c r="L387" s="92" t="s">
        <v>56</v>
      </c>
      <c r="M387" s="90" t="s">
        <v>132</v>
      </c>
      <c r="N387" s="92" t="s">
        <v>58</v>
      </c>
      <c r="O387" s="92" t="s">
        <v>89</v>
      </c>
      <c r="P387" s="87"/>
      <c r="Q387" s="87" t="s">
        <v>52</v>
      </c>
      <c r="R387" s="93" t="s">
        <v>435</v>
      </c>
      <c r="S387" s="87"/>
      <c r="T387" s="87"/>
      <c r="U387" s="94"/>
      <c r="V387" s="94"/>
      <c r="W387" s="97"/>
      <c r="X387" s="97"/>
      <c r="Y387" s="97"/>
      <c r="Z387" s="97"/>
      <c r="AA387" s="87"/>
      <c r="AB387" s="87" t="s">
        <v>72</v>
      </c>
      <c r="AC387" s="87"/>
      <c r="AD387" s="99">
        <v>46043.0</v>
      </c>
      <c r="AE387" s="100">
        <f t="shared" si="8"/>
        <v>1</v>
      </c>
    </row>
    <row r="388" ht="15.75" customHeight="1">
      <c r="A388" s="59" t="s">
        <v>1409</v>
      </c>
      <c r="B388" s="67" t="s">
        <v>148</v>
      </c>
      <c r="C388" s="60" t="s">
        <v>1410</v>
      </c>
      <c r="D388" s="81" t="s">
        <v>51</v>
      </c>
      <c r="E388" s="81">
        <v>1.0</v>
      </c>
      <c r="F388" s="101">
        <v>34000.0</v>
      </c>
      <c r="G388" s="73" t="s">
        <v>53</v>
      </c>
      <c r="H388" s="74">
        <v>46056.0</v>
      </c>
      <c r="I388" s="67" t="s">
        <v>17</v>
      </c>
      <c r="J388" s="67" t="s">
        <v>54</v>
      </c>
      <c r="K388" s="67" t="s">
        <v>372</v>
      </c>
      <c r="L388" s="67" t="s">
        <v>67</v>
      </c>
      <c r="M388" s="73" t="s">
        <v>117</v>
      </c>
      <c r="N388" s="67" t="s">
        <v>5</v>
      </c>
      <c r="O388" s="59" t="s">
        <v>69</v>
      </c>
      <c r="P388" s="59"/>
      <c r="Q388" s="59" t="s">
        <v>1411</v>
      </c>
      <c r="R388" s="76" t="s">
        <v>61</v>
      </c>
      <c r="S388" s="59"/>
      <c r="T388" s="59"/>
      <c r="U388" s="77" t="str">
        <f t="array" ref="U388">IFERROR(INDEX(DFD!$D$2:$D$1048791,MATCH($Q388,DFD!$B$2:$B$1048791,0)),"")</f>
        <v/>
      </c>
      <c r="V388" s="77" t="str">
        <f t="array" ref="V388">IFERROR(INDEX(DFD!$F$2:$F$1048791,MATCH($Q388,DFD!$B$2:$B$1048791,0)),"")</f>
        <v/>
      </c>
      <c r="W388" s="84" t="str">
        <f t="array" ref="W388">IFERROR(INDEX(DFD!$E$2:$E$1048791,MATCH($Q388,DFD!$B$2:$B$1048791,0)),"")</f>
        <v/>
      </c>
      <c r="X388" s="84" t="str">
        <f t="array" ref="X388">IFERROR(INDEX(DFD!$K$2:$K$1048791,MATCH($Q388,DFD!$B$2:$B$1048791,0)),"")</f>
        <v/>
      </c>
      <c r="Y388" s="84" t="str">
        <f t="array" ref="Y388">IFERROR(INDEX(DFD!$L$2:$L$1048790,MATCH($Q388,DFD!$B$2:$B$1048790,0)),"")</f>
        <v/>
      </c>
      <c r="Z388" s="84">
        <f t="shared" ref="Z388:Z819" si="13">Y388+45</f>
        <v>45</v>
      </c>
      <c r="AA388" s="59"/>
      <c r="AB388" s="59" t="s">
        <v>78</v>
      </c>
      <c r="AC388" s="59"/>
      <c r="AD388" s="85">
        <v>46043.0</v>
      </c>
      <c r="AE388" s="86">
        <f t="shared" si="8"/>
        <v>1</v>
      </c>
    </row>
    <row r="389" ht="15.75" customHeight="1">
      <c r="A389" s="87" t="s">
        <v>1412</v>
      </c>
      <c r="B389" s="92" t="s">
        <v>101</v>
      </c>
      <c r="C389" s="88" t="s">
        <v>1413</v>
      </c>
      <c r="D389" s="116" t="s">
        <v>51</v>
      </c>
      <c r="E389" s="116">
        <v>16.0</v>
      </c>
      <c r="F389" s="137">
        <v>9600.0</v>
      </c>
      <c r="G389" s="90" t="s">
        <v>53</v>
      </c>
      <c r="H389" s="118">
        <v>46204.0</v>
      </c>
      <c r="I389" s="92" t="s">
        <v>18</v>
      </c>
      <c r="J389" s="92" t="s">
        <v>54</v>
      </c>
      <c r="K389" s="92" t="s">
        <v>83</v>
      </c>
      <c r="L389" s="92" t="s">
        <v>56</v>
      </c>
      <c r="M389" s="90" t="s">
        <v>68</v>
      </c>
      <c r="N389" s="92" t="s">
        <v>58</v>
      </c>
      <c r="O389" s="87" t="s">
        <v>69</v>
      </c>
      <c r="P389" s="87"/>
      <c r="Q389" s="87" t="s">
        <v>124</v>
      </c>
      <c r="R389" s="93" t="s">
        <v>71</v>
      </c>
      <c r="S389" s="87"/>
      <c r="T389" s="87"/>
      <c r="U389" s="94" t="str">
        <f t="array" ref="U389">IFERROR(INDEX(DFD!$D$2:$D$1048791,MATCH($Q389,DFD!$B$2:$B$1048791,0)),"")</f>
        <v/>
      </c>
      <c r="V389" s="94" t="str">
        <f t="array" ref="V389">IFERROR(INDEX(DFD!$F$2:$F$1048791,MATCH($Q389,DFD!$B$2:$B$1048791,0)),"")</f>
        <v/>
      </c>
      <c r="W389" s="97" t="str">
        <f t="array" ref="W389">IFERROR(INDEX(DFD!$E$2:$E$1048791,MATCH($Q389,DFD!$B$2:$B$1048791,0)),"")</f>
        <v/>
      </c>
      <c r="X389" s="97" t="str">
        <f t="array" ref="X389">IFERROR(INDEX(DFD!$K$2:$K$1048791,MATCH($Q389,DFD!$B$2:$B$1048791,0)),"")</f>
        <v/>
      </c>
      <c r="Y389" s="97" t="str">
        <f t="array" ref="Y389">IFERROR(INDEX(DFD!$L$2:$L$1048790,MATCH($Q389,DFD!$B$2:$B$1048790,0)),"")</f>
        <v/>
      </c>
      <c r="Z389" s="97">
        <f t="shared" si="13"/>
        <v>45</v>
      </c>
      <c r="AA389" s="87"/>
      <c r="AB389" s="87" t="s">
        <v>78</v>
      </c>
      <c r="AC389" s="87"/>
      <c r="AD389" s="99">
        <v>46043.0</v>
      </c>
      <c r="AE389" s="100">
        <f t="shared" si="8"/>
        <v>1</v>
      </c>
    </row>
    <row r="390" ht="15.75" customHeight="1">
      <c r="A390" s="59" t="s">
        <v>1414</v>
      </c>
      <c r="B390" s="67" t="s">
        <v>355</v>
      </c>
      <c r="C390" s="60" t="s">
        <v>1413</v>
      </c>
      <c r="D390" s="81" t="s">
        <v>51</v>
      </c>
      <c r="E390" s="81">
        <v>6.0</v>
      </c>
      <c r="F390" s="101">
        <v>3600.0</v>
      </c>
      <c r="G390" s="73" t="s">
        <v>53</v>
      </c>
      <c r="H390" s="83">
        <v>46174.0</v>
      </c>
      <c r="I390" s="67" t="s">
        <v>18</v>
      </c>
      <c r="J390" s="67" t="s">
        <v>54</v>
      </c>
      <c r="K390" s="67" t="s">
        <v>83</v>
      </c>
      <c r="L390" s="67" t="s">
        <v>56</v>
      </c>
      <c r="M390" s="73" t="s">
        <v>68</v>
      </c>
      <c r="N390" s="67" t="s">
        <v>58</v>
      </c>
      <c r="O390" s="67" t="s">
        <v>89</v>
      </c>
      <c r="P390" s="59"/>
      <c r="Q390" s="59" t="s">
        <v>52</v>
      </c>
      <c r="R390" s="76" t="s">
        <v>71</v>
      </c>
      <c r="S390" s="59"/>
      <c r="T390" s="59"/>
      <c r="U390" s="77" t="str">
        <f t="array" ref="U390">IFERROR(INDEX(DFD!$D$2:$D$1048791,MATCH($Q390,DFD!$B$2:$B$1048791,0)),"")</f>
        <v/>
      </c>
      <c r="V390" s="77" t="str">
        <f t="array" ref="V390">IFERROR(INDEX(DFD!$F$2:$F$1048791,MATCH($Q390,DFD!$B$2:$B$1048791,0)),"")</f>
        <v/>
      </c>
      <c r="W390" s="84" t="str">
        <f t="array" ref="W390">IFERROR(INDEX(DFD!$E$2:$E$1048791,MATCH($Q390,DFD!$B$2:$B$1048791,0)),"")</f>
        <v/>
      </c>
      <c r="X390" s="84" t="str">
        <f t="array" ref="X390">IFERROR(INDEX(DFD!$K$2:$K$1048791,MATCH($Q390,DFD!$B$2:$B$1048791,0)),"")</f>
        <v/>
      </c>
      <c r="Y390" s="84" t="str">
        <f t="array" ref="Y390">IFERROR(INDEX(DFD!$L$2:$L$1048790,MATCH($Q390,DFD!$B$2:$B$1048790,0)),"")</f>
        <v/>
      </c>
      <c r="Z390" s="84">
        <f t="shared" si="13"/>
        <v>45</v>
      </c>
      <c r="AA390" s="59"/>
      <c r="AB390" s="59" t="s">
        <v>72</v>
      </c>
      <c r="AC390" s="59"/>
      <c r="AD390" s="85">
        <v>46043.0</v>
      </c>
      <c r="AE390" s="86">
        <f t="shared" si="8"/>
        <v>1</v>
      </c>
    </row>
    <row r="391" ht="15.75" customHeight="1">
      <c r="A391" s="92" t="s">
        <v>1415</v>
      </c>
      <c r="B391" s="87" t="s">
        <v>81</v>
      </c>
      <c r="C391" s="88" t="s">
        <v>1416</v>
      </c>
      <c r="D391" s="88" t="s">
        <v>51</v>
      </c>
      <c r="E391" s="88">
        <v>2.0</v>
      </c>
      <c r="F391" s="89">
        <v>3600.0</v>
      </c>
      <c r="G391" s="90" t="s">
        <v>53</v>
      </c>
      <c r="H391" s="91">
        <v>46174.0</v>
      </c>
      <c r="I391" s="92" t="s">
        <v>18</v>
      </c>
      <c r="J391" s="92" t="s">
        <v>54</v>
      </c>
      <c r="K391" s="92" t="s">
        <v>83</v>
      </c>
      <c r="L391" s="92" t="s">
        <v>67</v>
      </c>
      <c r="M391" s="90" t="s">
        <v>117</v>
      </c>
      <c r="N391" s="92" t="s">
        <v>20</v>
      </c>
      <c r="O391" s="87" t="s">
        <v>69</v>
      </c>
      <c r="P391" s="87"/>
      <c r="Q391" s="87" t="s">
        <v>689</v>
      </c>
      <c r="R391" s="93" t="s">
        <v>181</v>
      </c>
      <c r="S391" s="87"/>
      <c r="T391" s="87"/>
      <c r="U391" s="94" t="str">
        <f t="array" ref="U391">IFERROR(INDEX(DFD!$D$2:$D$1048791,MATCH($Q391,DFD!$B$2:$B$1048791,0)),"")</f>
        <v/>
      </c>
      <c r="V391" s="94" t="s">
        <v>280</v>
      </c>
      <c r="W391" s="97" t="str">
        <f t="array" ref="W391">IFERROR(INDEX(DFD!$E$2:$E$1048791,MATCH($Q391,DFD!$B$2:$B$1048791,0)),"")</f>
        <v/>
      </c>
      <c r="X391" s="97" t="str">
        <f t="array" ref="X391">IFERROR(INDEX(DFD!$K$2:$K$1048791,MATCH($Q391,DFD!$B$2:$B$1048791,0)),"")</f>
        <v/>
      </c>
      <c r="Y391" s="97" t="str">
        <f t="array" ref="Y391">IFERROR(INDEX(DFD!$L$2:$L$1048790,MATCH($Q391,DFD!$B$2:$B$1048790,0)),"")</f>
        <v/>
      </c>
      <c r="Z391" s="97">
        <f t="shared" si="13"/>
        <v>45</v>
      </c>
      <c r="AA391" s="87"/>
      <c r="AB391" s="87" t="s">
        <v>78</v>
      </c>
      <c r="AC391" s="87"/>
      <c r="AD391" s="99">
        <v>46043.0</v>
      </c>
      <c r="AE391" s="100">
        <f t="shared" si="8"/>
        <v>1</v>
      </c>
    </row>
    <row r="392" ht="15.75" customHeight="1">
      <c r="A392" s="67" t="s">
        <v>1417</v>
      </c>
      <c r="B392" s="59" t="s">
        <v>80</v>
      </c>
      <c r="C392" s="60" t="s">
        <v>1416</v>
      </c>
      <c r="D392" s="60" t="s">
        <v>51</v>
      </c>
      <c r="E392" s="60">
        <v>1.0</v>
      </c>
      <c r="F392" s="72">
        <v>1800.0</v>
      </c>
      <c r="G392" s="73" t="s">
        <v>53</v>
      </c>
      <c r="H392" s="74">
        <v>46174.0</v>
      </c>
      <c r="I392" s="67" t="s">
        <v>18</v>
      </c>
      <c r="J392" s="67" t="s">
        <v>54</v>
      </c>
      <c r="K392" s="67" t="s">
        <v>83</v>
      </c>
      <c r="L392" s="67" t="s">
        <v>67</v>
      </c>
      <c r="M392" s="73" t="s">
        <v>132</v>
      </c>
      <c r="N392" s="67" t="s">
        <v>20</v>
      </c>
      <c r="O392" s="59" t="s">
        <v>69</v>
      </c>
      <c r="P392" s="59"/>
      <c r="Q392" s="59" t="s">
        <v>689</v>
      </c>
      <c r="R392" s="76" t="s">
        <v>181</v>
      </c>
      <c r="S392" s="59"/>
      <c r="T392" s="59"/>
      <c r="U392" s="77" t="str">
        <f t="array" ref="U392">IFERROR(INDEX(DFD!$D$2:$D$1048791,MATCH($Q392,DFD!$B$2:$B$1048791,0)),"")</f>
        <v/>
      </c>
      <c r="V392" s="77" t="s">
        <v>280</v>
      </c>
      <c r="W392" s="84" t="str">
        <f t="array" ref="W392">IFERROR(INDEX(DFD!$E$2:$E$1048791,MATCH($Q392,DFD!$B$2:$B$1048791,0)),"")</f>
        <v/>
      </c>
      <c r="X392" s="84" t="str">
        <f t="array" ref="X392">IFERROR(INDEX(DFD!$K$2:$K$1048791,MATCH($Q392,DFD!$B$2:$B$1048791,0)),"")</f>
        <v/>
      </c>
      <c r="Y392" s="84" t="str">
        <f t="array" ref="Y392">IFERROR(INDEX(DFD!$L$2:$L$1048790,MATCH($Q392,DFD!$B$2:$B$1048790,0)),"")</f>
        <v/>
      </c>
      <c r="Z392" s="84">
        <f t="shared" si="13"/>
        <v>45</v>
      </c>
      <c r="AA392" s="59"/>
      <c r="AB392" s="59" t="s">
        <v>78</v>
      </c>
      <c r="AC392" s="59"/>
      <c r="AD392" s="85">
        <v>46043.0</v>
      </c>
      <c r="AE392" s="86">
        <f t="shared" si="8"/>
        <v>1</v>
      </c>
    </row>
    <row r="393" ht="15.75" customHeight="1">
      <c r="A393" s="92" t="s">
        <v>1418</v>
      </c>
      <c r="B393" s="104" t="s">
        <v>101</v>
      </c>
      <c r="C393" s="88" t="s">
        <v>459</v>
      </c>
      <c r="D393" s="116" t="s">
        <v>51</v>
      </c>
      <c r="E393" s="116">
        <v>8.0</v>
      </c>
      <c r="F393" s="137">
        <v>88000.0</v>
      </c>
      <c r="G393" s="90" t="s">
        <v>53</v>
      </c>
      <c r="H393" s="118">
        <v>46266.0</v>
      </c>
      <c r="I393" s="92" t="s">
        <v>18</v>
      </c>
      <c r="J393" s="92" t="s">
        <v>54</v>
      </c>
      <c r="K393" s="92" t="s">
        <v>83</v>
      </c>
      <c r="L393" s="92" t="s">
        <v>67</v>
      </c>
      <c r="M393" s="90" t="s">
        <v>112</v>
      </c>
      <c r="N393" s="92" t="s">
        <v>20</v>
      </c>
      <c r="O393" s="92" t="s">
        <v>89</v>
      </c>
      <c r="P393" s="87"/>
      <c r="Q393" s="87" t="s">
        <v>1014</v>
      </c>
      <c r="R393" s="93" t="s">
        <v>442</v>
      </c>
      <c r="S393" s="87"/>
      <c r="T393" s="87"/>
      <c r="U393" s="94" t="str">
        <f t="array" ref="U393">IFERROR(INDEX(DFD!$D$2:$D$1048791,MATCH($Q393,DFD!$B$2:$B$1048791,0)),"")</f>
        <v/>
      </c>
      <c r="V393" s="94" t="s">
        <v>280</v>
      </c>
      <c r="W393" s="97" t="str">
        <f t="array" ref="W393">IFERROR(INDEX(DFD!$E$2:$E$1048791,MATCH($Q393,DFD!$B$2:$B$1048791,0)),"")</f>
        <v/>
      </c>
      <c r="X393" s="97" t="str">
        <f t="array" ref="X393">IFERROR(INDEX(DFD!$K$2:$K$1048791,MATCH($Q393,DFD!$B$2:$B$1048791,0)),"")</f>
        <v/>
      </c>
      <c r="Y393" s="97" t="str">
        <f t="array" ref="Y393">IFERROR(INDEX(DFD!$L$2:$L$1048790,MATCH($Q393,DFD!$B$2:$B$1048790,0)),"")</f>
        <v/>
      </c>
      <c r="Z393" s="97">
        <f t="shared" si="13"/>
        <v>45</v>
      </c>
      <c r="AA393" s="87"/>
      <c r="AB393" s="87" t="s">
        <v>78</v>
      </c>
      <c r="AC393" s="87"/>
      <c r="AD393" s="99">
        <v>46043.0</v>
      </c>
      <c r="AE393" s="100">
        <f t="shared" si="8"/>
        <v>1</v>
      </c>
    </row>
    <row r="394" ht="15.75" customHeight="1">
      <c r="A394" s="59" t="s">
        <v>1419</v>
      </c>
      <c r="B394" s="67" t="s">
        <v>101</v>
      </c>
      <c r="C394" s="60" t="s">
        <v>1420</v>
      </c>
      <c r="D394" s="81" t="s">
        <v>51</v>
      </c>
      <c r="E394" s="81">
        <v>2.0</v>
      </c>
      <c r="F394" s="101">
        <v>19200.0</v>
      </c>
      <c r="G394" s="73" t="s">
        <v>53</v>
      </c>
      <c r="H394" s="83">
        <v>46235.0</v>
      </c>
      <c r="I394" s="67" t="s">
        <v>18</v>
      </c>
      <c r="J394" s="67" t="s">
        <v>54</v>
      </c>
      <c r="K394" s="67" t="s">
        <v>83</v>
      </c>
      <c r="L394" s="67" t="s">
        <v>67</v>
      </c>
      <c r="M394" s="73" t="s">
        <v>132</v>
      </c>
      <c r="N394" s="67" t="s">
        <v>58</v>
      </c>
      <c r="O394" s="59" t="s">
        <v>69</v>
      </c>
      <c r="P394" s="59"/>
      <c r="Q394" s="59" t="s">
        <v>1014</v>
      </c>
      <c r="R394" s="76" t="s">
        <v>442</v>
      </c>
      <c r="S394" s="59"/>
      <c r="T394" s="59"/>
      <c r="U394" s="77" t="str">
        <f t="array" ref="U394">IFERROR(INDEX(DFD!$D$2:$D$1048791,MATCH($Q394,DFD!$B$2:$B$1048791,0)),"")</f>
        <v/>
      </c>
      <c r="V394" s="77" t="s">
        <v>280</v>
      </c>
      <c r="W394" s="84" t="str">
        <f t="array" ref="W394">IFERROR(INDEX(DFD!$E$2:$E$1048791,MATCH($Q394,DFD!$B$2:$B$1048791,0)),"")</f>
        <v/>
      </c>
      <c r="X394" s="84" t="str">
        <f t="array" ref="X394">IFERROR(INDEX(DFD!$K$2:$K$1048791,MATCH($Q394,DFD!$B$2:$B$1048791,0)),"")</f>
        <v/>
      </c>
      <c r="Y394" s="84" t="str">
        <f t="array" ref="Y394">IFERROR(INDEX(DFD!$L$2:$L$1048790,MATCH($Q394,DFD!$B$2:$B$1048790,0)),"")</f>
        <v/>
      </c>
      <c r="Z394" s="84">
        <f t="shared" si="13"/>
        <v>45</v>
      </c>
      <c r="AA394" s="59"/>
      <c r="AB394" s="59" t="s">
        <v>78</v>
      </c>
      <c r="AC394" s="59"/>
      <c r="AD394" s="85">
        <v>46043.0</v>
      </c>
      <c r="AE394" s="86">
        <f t="shared" si="8"/>
        <v>1</v>
      </c>
    </row>
    <row r="395" ht="15.75" customHeight="1">
      <c r="A395" s="92" t="s">
        <v>1421</v>
      </c>
      <c r="B395" s="87" t="s">
        <v>184</v>
      </c>
      <c r="C395" s="88" t="s">
        <v>1422</v>
      </c>
      <c r="D395" s="88" t="s">
        <v>51</v>
      </c>
      <c r="E395" s="88">
        <v>2000.0</v>
      </c>
      <c r="F395" s="89">
        <v>7600.0</v>
      </c>
      <c r="G395" s="90" t="s">
        <v>53</v>
      </c>
      <c r="H395" s="91">
        <v>46204.0</v>
      </c>
      <c r="I395" s="92" t="s">
        <v>17</v>
      </c>
      <c r="J395" s="92" t="s">
        <v>54</v>
      </c>
      <c r="K395" s="92" t="s">
        <v>66</v>
      </c>
      <c r="L395" s="92" t="s">
        <v>67</v>
      </c>
      <c r="M395" s="90" t="s">
        <v>132</v>
      </c>
      <c r="N395" s="92" t="s">
        <v>20</v>
      </c>
      <c r="O395" s="87" t="s">
        <v>69</v>
      </c>
      <c r="P395" s="87"/>
      <c r="Q395" s="87" t="s">
        <v>191</v>
      </c>
      <c r="R395" s="93" t="s">
        <v>187</v>
      </c>
      <c r="S395" s="87"/>
      <c r="T395" s="87"/>
      <c r="U395" s="94" t="str">
        <f t="array" ref="U395">IFERROR(INDEX(DFD!$D$2:$D$1048791,MATCH($Q395,DFD!$B$2:$B$1048791,0)),"")</f>
        <v/>
      </c>
      <c r="V395" s="94" t="str">
        <f t="array" ref="V395">IFERROR(INDEX(DFD!$F$2:$F$1048791,MATCH($Q395,DFD!$B$2:$B$1048791,0)),"")</f>
        <v/>
      </c>
      <c r="W395" s="97" t="str">
        <f t="array" ref="W395">IFERROR(INDEX(DFD!$E$2:$E$1048791,MATCH($Q395,DFD!$B$2:$B$1048791,0)),"")</f>
        <v/>
      </c>
      <c r="X395" s="97" t="str">
        <f t="array" ref="X395">IFERROR(INDEX(DFD!$K$2:$K$1048791,MATCH($Q395,DFD!$B$2:$B$1048791,0)),"")</f>
        <v/>
      </c>
      <c r="Y395" s="97" t="str">
        <f t="array" ref="Y395">IFERROR(INDEX(DFD!$L$2:$L$1048790,MATCH($Q395,DFD!$B$2:$B$1048790,0)),"")</f>
        <v/>
      </c>
      <c r="Z395" s="97">
        <f t="shared" si="13"/>
        <v>45</v>
      </c>
      <c r="AA395" s="87"/>
      <c r="AB395" s="87" t="s">
        <v>78</v>
      </c>
      <c r="AC395" s="87"/>
      <c r="AD395" s="99">
        <v>46043.0</v>
      </c>
      <c r="AE395" s="100">
        <f t="shared" si="8"/>
        <v>1</v>
      </c>
    </row>
    <row r="396" ht="15.75" customHeight="1">
      <c r="A396" s="59" t="s">
        <v>1423</v>
      </c>
      <c r="B396" s="59" t="s">
        <v>52</v>
      </c>
      <c r="C396" s="60" t="s">
        <v>1424</v>
      </c>
      <c r="D396" s="60" t="s">
        <v>51</v>
      </c>
      <c r="E396" s="59">
        <v>1.0</v>
      </c>
      <c r="F396" s="72">
        <v>10000.0</v>
      </c>
      <c r="G396" s="73" t="s">
        <v>53</v>
      </c>
      <c r="H396" s="74">
        <v>46235.0</v>
      </c>
      <c r="I396" s="67" t="s">
        <v>17</v>
      </c>
      <c r="J396" s="67" t="s">
        <v>54</v>
      </c>
      <c r="K396" s="67" t="s">
        <v>380</v>
      </c>
      <c r="L396" s="67" t="s">
        <v>67</v>
      </c>
      <c r="M396" s="73" t="s">
        <v>112</v>
      </c>
      <c r="N396" s="67" t="s">
        <v>52</v>
      </c>
      <c r="O396" s="67" t="s">
        <v>89</v>
      </c>
      <c r="P396" s="59"/>
      <c r="Q396" s="59" t="s">
        <v>52</v>
      </c>
      <c r="R396" s="76" t="s">
        <v>382</v>
      </c>
      <c r="S396" s="59"/>
      <c r="T396" s="59"/>
      <c r="U396" s="77" t="str">
        <f t="array" ref="U396">IFERROR(INDEX(DFD!$D$2:$D$1048791,MATCH($Q396,DFD!$B$2:$B$1048791,0)),"")</f>
        <v/>
      </c>
      <c r="V396" s="77" t="str">
        <f t="array" ref="V396">IFERROR(INDEX(DFD!$F$2:$F$1048791,MATCH($Q396,DFD!$B$2:$B$1048791,0)),"")</f>
        <v/>
      </c>
      <c r="W396" s="84" t="str">
        <f t="array" ref="W396">IFERROR(INDEX(DFD!$E$2:$E$1048791,MATCH($Q396,DFD!$B$2:$B$1048791,0)),"")</f>
        <v/>
      </c>
      <c r="X396" s="84" t="str">
        <f t="array" ref="X396">IFERROR(INDEX(DFD!$K$2:$K$1048791,MATCH($Q396,DFD!$B$2:$B$1048791,0)),"")</f>
        <v/>
      </c>
      <c r="Y396" s="84" t="str">
        <f t="array" ref="Y396">IFERROR(INDEX(DFD!$L$2:$L$1048790,MATCH($Q396,DFD!$B$2:$B$1048790,0)),"")</f>
        <v/>
      </c>
      <c r="Z396" s="84">
        <f t="shared" si="13"/>
        <v>45</v>
      </c>
      <c r="AA396" s="59"/>
      <c r="AB396" s="59" t="s">
        <v>72</v>
      </c>
      <c r="AC396" s="59"/>
      <c r="AD396" s="85">
        <v>46043.0</v>
      </c>
      <c r="AE396" s="86">
        <f t="shared" si="8"/>
        <v>1</v>
      </c>
    </row>
    <row r="397" ht="15.75" customHeight="1">
      <c r="A397" s="87" t="s">
        <v>1425</v>
      </c>
      <c r="B397" s="87" t="s">
        <v>52</v>
      </c>
      <c r="C397" s="88" t="s">
        <v>1426</v>
      </c>
      <c r="D397" s="88" t="s">
        <v>51</v>
      </c>
      <c r="E397" s="87">
        <v>1.0</v>
      </c>
      <c r="F397" s="89">
        <v>21372.0</v>
      </c>
      <c r="G397" s="90" t="s">
        <v>53</v>
      </c>
      <c r="H397" s="91">
        <v>46235.0</v>
      </c>
      <c r="I397" s="92" t="s">
        <v>17</v>
      </c>
      <c r="J397" s="92" t="s">
        <v>54</v>
      </c>
      <c r="K397" s="92" t="s">
        <v>380</v>
      </c>
      <c r="L397" s="92" t="s">
        <v>67</v>
      </c>
      <c r="M397" s="90" t="s">
        <v>104</v>
      </c>
      <c r="N397" s="92" t="s">
        <v>52</v>
      </c>
      <c r="O397" s="87" t="s">
        <v>69</v>
      </c>
      <c r="P397" s="87"/>
      <c r="Q397" s="87" t="s">
        <v>52</v>
      </c>
      <c r="R397" s="93" t="s">
        <v>382</v>
      </c>
      <c r="S397" s="87"/>
      <c r="T397" s="87"/>
      <c r="U397" s="94" t="str">
        <f t="array" ref="U397">IFERROR(INDEX(DFD!$D$2:$D$1048791,MATCH($Q397,DFD!$B$2:$B$1048791,0)),"")</f>
        <v/>
      </c>
      <c r="V397" s="94" t="str">
        <f t="array" ref="V397">IFERROR(INDEX(DFD!$F$2:$F$1048791,MATCH($Q397,DFD!$B$2:$B$1048791,0)),"")</f>
        <v/>
      </c>
      <c r="W397" s="97" t="str">
        <f t="array" ref="W397">IFERROR(INDEX(DFD!$E$2:$E$1048791,MATCH($Q397,DFD!$B$2:$B$1048791,0)),"")</f>
        <v/>
      </c>
      <c r="X397" s="97" t="str">
        <f t="array" ref="X397">IFERROR(INDEX(DFD!$K$2:$K$1048791,MATCH($Q397,DFD!$B$2:$B$1048791,0)),"")</f>
        <v/>
      </c>
      <c r="Y397" s="97" t="str">
        <f t="array" ref="Y397">IFERROR(INDEX(DFD!$L$2:$L$1048790,MATCH($Q397,DFD!$B$2:$B$1048790,0)),"")</f>
        <v/>
      </c>
      <c r="Z397" s="97">
        <f t="shared" si="13"/>
        <v>45</v>
      </c>
      <c r="AA397" s="87"/>
      <c r="AB397" s="87" t="s">
        <v>72</v>
      </c>
      <c r="AC397" s="87"/>
      <c r="AD397" s="99">
        <v>46043.0</v>
      </c>
      <c r="AE397" s="100">
        <f t="shared" si="8"/>
        <v>1</v>
      </c>
    </row>
    <row r="398" ht="15.75" customHeight="1">
      <c r="A398" s="59" t="s">
        <v>1427</v>
      </c>
      <c r="B398" s="59" t="s">
        <v>94</v>
      </c>
      <c r="C398" s="60" t="s">
        <v>1428</v>
      </c>
      <c r="D398" s="60" t="s">
        <v>1429</v>
      </c>
      <c r="E398" s="60">
        <v>10.0</v>
      </c>
      <c r="F398" s="72">
        <v>500.0</v>
      </c>
      <c r="G398" s="73" t="s">
        <v>53</v>
      </c>
      <c r="H398" s="74">
        <v>46174.0</v>
      </c>
      <c r="I398" s="67" t="s">
        <v>17</v>
      </c>
      <c r="J398" s="67" t="s">
        <v>54</v>
      </c>
      <c r="K398" s="67" t="s">
        <v>66</v>
      </c>
      <c r="L398" s="67" t="s">
        <v>67</v>
      </c>
      <c r="M398" s="73" t="s">
        <v>117</v>
      </c>
      <c r="N398" s="67" t="s">
        <v>5</v>
      </c>
      <c r="O398" s="59" t="s">
        <v>69</v>
      </c>
      <c r="P398" s="59"/>
      <c r="Q398" s="59" t="s">
        <v>118</v>
      </c>
      <c r="R398" s="76" t="s">
        <v>181</v>
      </c>
      <c r="S398" s="59"/>
      <c r="T398" s="59"/>
      <c r="U398" s="77" t="str">
        <f t="array" ref="U398">IFERROR(INDEX(DFD!$D$2:$D$1048791,MATCH($Q398,DFD!$B$2:$B$1048791,0)),"")</f>
        <v/>
      </c>
      <c r="V398" s="77" t="str">
        <f t="array" ref="V398">IFERROR(INDEX(DFD!$F$2:$F$1048791,MATCH($Q398,DFD!$B$2:$B$1048791,0)),"")</f>
        <v/>
      </c>
      <c r="W398" s="84" t="str">
        <f t="array" ref="W398">IFERROR(INDEX(DFD!$E$2:$E$1048791,MATCH($Q398,DFD!$B$2:$B$1048791,0)),"")</f>
        <v/>
      </c>
      <c r="X398" s="84" t="str">
        <f t="array" ref="X398">IFERROR(INDEX(DFD!$K$2:$K$1048791,MATCH($Q398,DFD!$B$2:$B$1048791,0)),"")</f>
        <v/>
      </c>
      <c r="Y398" s="84" t="str">
        <f t="array" ref="Y398">IFERROR(INDEX(DFD!$L$2:$L$1048790,MATCH($Q398,DFD!$B$2:$B$1048790,0)),"")</f>
        <v/>
      </c>
      <c r="Z398" s="84">
        <f t="shared" si="13"/>
        <v>45</v>
      </c>
      <c r="AA398" s="59"/>
      <c r="AB398" s="59" t="s">
        <v>78</v>
      </c>
      <c r="AC398" s="59"/>
      <c r="AD398" s="85">
        <v>46043.0</v>
      </c>
      <c r="AE398" s="86">
        <f t="shared" si="8"/>
        <v>1</v>
      </c>
    </row>
    <row r="399" ht="15.75" customHeight="1">
      <c r="A399" s="87" t="s">
        <v>1430</v>
      </c>
      <c r="B399" s="87" t="s">
        <v>95</v>
      </c>
      <c r="C399" s="88" t="s">
        <v>1428</v>
      </c>
      <c r="D399" s="88" t="s">
        <v>51</v>
      </c>
      <c r="E399" s="88">
        <v>5.0</v>
      </c>
      <c r="F399" s="89">
        <v>250.0</v>
      </c>
      <c r="G399" s="90" t="s">
        <v>53</v>
      </c>
      <c r="H399" s="91">
        <v>46143.0</v>
      </c>
      <c r="I399" s="92" t="s">
        <v>17</v>
      </c>
      <c r="J399" s="92" t="s">
        <v>54</v>
      </c>
      <c r="K399" s="92" t="s">
        <v>66</v>
      </c>
      <c r="L399" s="92" t="s">
        <v>67</v>
      </c>
      <c r="M399" s="90" t="s">
        <v>117</v>
      </c>
      <c r="N399" s="92" t="s">
        <v>5</v>
      </c>
      <c r="O399" s="92" t="s">
        <v>89</v>
      </c>
      <c r="P399" s="87"/>
      <c r="Q399" s="87" t="s">
        <v>118</v>
      </c>
      <c r="R399" s="93" t="s">
        <v>181</v>
      </c>
      <c r="S399" s="87"/>
      <c r="T399" s="87"/>
      <c r="U399" s="94" t="str">
        <f t="array" ref="U399">IFERROR(INDEX(DFD!$D$2:$D$1048791,MATCH($Q399,DFD!$B$2:$B$1048791,0)),"")</f>
        <v/>
      </c>
      <c r="V399" s="94" t="str">
        <f t="array" ref="V399">IFERROR(INDEX(DFD!$F$2:$F$1048791,MATCH($Q399,DFD!$B$2:$B$1048791,0)),"")</f>
        <v/>
      </c>
      <c r="W399" s="97" t="str">
        <f t="array" ref="W399">IFERROR(INDEX(DFD!$E$2:$E$1048791,MATCH($Q399,DFD!$B$2:$B$1048791,0)),"")</f>
        <v/>
      </c>
      <c r="X399" s="97" t="str">
        <f t="array" ref="X399">IFERROR(INDEX(DFD!$K$2:$K$1048791,MATCH($Q399,DFD!$B$2:$B$1048791,0)),"")</f>
        <v/>
      </c>
      <c r="Y399" s="97" t="str">
        <f t="array" ref="Y399">IFERROR(INDEX(DFD!$L$2:$L$1048790,MATCH($Q399,DFD!$B$2:$B$1048790,0)),"")</f>
        <v/>
      </c>
      <c r="Z399" s="97">
        <f t="shared" si="13"/>
        <v>45</v>
      </c>
      <c r="AA399" s="87"/>
      <c r="AB399" s="87" t="s">
        <v>78</v>
      </c>
      <c r="AC399" s="87"/>
      <c r="AD399" s="99">
        <v>46043.0</v>
      </c>
      <c r="AE399" s="100">
        <f t="shared" si="8"/>
        <v>1</v>
      </c>
    </row>
    <row r="400" ht="15.75" customHeight="1">
      <c r="A400" s="59" t="s">
        <v>1431</v>
      </c>
      <c r="B400" s="59" t="s">
        <v>91</v>
      </c>
      <c r="C400" s="60" t="s">
        <v>1428</v>
      </c>
      <c r="D400" s="60" t="s">
        <v>1429</v>
      </c>
      <c r="E400" s="60">
        <v>1.0</v>
      </c>
      <c r="F400" s="72">
        <v>50.0</v>
      </c>
      <c r="G400" s="73" t="s">
        <v>53</v>
      </c>
      <c r="H400" s="74">
        <v>46143.0</v>
      </c>
      <c r="I400" s="67" t="s">
        <v>17</v>
      </c>
      <c r="J400" s="67" t="s">
        <v>54</v>
      </c>
      <c r="K400" s="67" t="s">
        <v>66</v>
      </c>
      <c r="L400" s="67" t="s">
        <v>67</v>
      </c>
      <c r="M400" s="73" t="s">
        <v>132</v>
      </c>
      <c r="N400" s="67" t="s">
        <v>5</v>
      </c>
      <c r="O400" s="59" t="s">
        <v>69</v>
      </c>
      <c r="P400" s="59"/>
      <c r="Q400" s="59" t="s">
        <v>118</v>
      </c>
      <c r="R400" s="76" t="s">
        <v>181</v>
      </c>
      <c r="S400" s="59"/>
      <c r="T400" s="59"/>
      <c r="U400" s="77" t="str">
        <f t="array" ref="U400">IFERROR(INDEX(DFD!$D$2:$D$1048791,MATCH($Q400,DFD!$B$2:$B$1048791,0)),"")</f>
        <v/>
      </c>
      <c r="V400" s="77" t="str">
        <f t="array" ref="V400">IFERROR(INDEX(DFD!$F$2:$F$1048791,MATCH($Q400,DFD!$B$2:$B$1048791,0)),"")</f>
        <v/>
      </c>
      <c r="W400" s="84" t="str">
        <f t="array" ref="W400">IFERROR(INDEX(DFD!$E$2:$E$1048791,MATCH($Q400,DFD!$B$2:$B$1048791,0)),"")</f>
        <v/>
      </c>
      <c r="X400" s="84" t="str">
        <f t="array" ref="X400">IFERROR(INDEX(DFD!$K$2:$K$1048791,MATCH($Q400,DFD!$B$2:$B$1048791,0)),"")</f>
        <v/>
      </c>
      <c r="Y400" s="84" t="str">
        <f t="array" ref="Y400">IFERROR(INDEX(DFD!$L$2:$L$1048790,MATCH($Q400,DFD!$B$2:$B$1048790,0)),"")</f>
        <v/>
      </c>
      <c r="Z400" s="84">
        <f t="shared" si="13"/>
        <v>45</v>
      </c>
      <c r="AA400" s="59"/>
      <c r="AB400" s="59" t="s">
        <v>78</v>
      </c>
      <c r="AC400" s="59"/>
      <c r="AD400" s="85">
        <v>46043.0</v>
      </c>
      <c r="AE400" s="86">
        <f t="shared" si="8"/>
        <v>1</v>
      </c>
    </row>
    <row r="401" ht="15.75" customHeight="1">
      <c r="A401" s="87" t="s">
        <v>1432</v>
      </c>
      <c r="B401" s="87" t="s">
        <v>98</v>
      </c>
      <c r="C401" s="88" t="s">
        <v>1428</v>
      </c>
      <c r="D401" s="88" t="s">
        <v>1429</v>
      </c>
      <c r="E401" s="88">
        <v>1.0</v>
      </c>
      <c r="F401" s="89">
        <v>50.0</v>
      </c>
      <c r="G401" s="90" t="s">
        <v>53</v>
      </c>
      <c r="H401" s="91">
        <v>46143.0</v>
      </c>
      <c r="I401" s="92" t="s">
        <v>17</v>
      </c>
      <c r="J401" s="92" t="s">
        <v>54</v>
      </c>
      <c r="K401" s="92" t="s">
        <v>66</v>
      </c>
      <c r="L401" s="92" t="s">
        <v>67</v>
      </c>
      <c r="M401" s="90" t="s">
        <v>132</v>
      </c>
      <c r="N401" s="92" t="s">
        <v>5</v>
      </c>
      <c r="O401" s="87" t="s">
        <v>69</v>
      </c>
      <c r="P401" s="87"/>
      <c r="Q401" s="87" t="s">
        <v>118</v>
      </c>
      <c r="R401" s="93" t="s">
        <v>181</v>
      </c>
      <c r="S401" s="87"/>
      <c r="T401" s="87"/>
      <c r="U401" s="94" t="str">
        <f t="array" ref="U401">IFERROR(INDEX(DFD!$D$2:$D$1048791,MATCH($Q401,DFD!$B$2:$B$1048791,0)),"")</f>
        <v/>
      </c>
      <c r="V401" s="94" t="str">
        <f t="array" ref="V401">IFERROR(INDEX(DFD!$F$2:$F$1048791,MATCH($Q401,DFD!$B$2:$B$1048791,0)),"")</f>
        <v/>
      </c>
      <c r="W401" s="97" t="str">
        <f t="array" ref="W401">IFERROR(INDEX(DFD!$E$2:$E$1048791,MATCH($Q401,DFD!$B$2:$B$1048791,0)),"")</f>
        <v/>
      </c>
      <c r="X401" s="97" t="str">
        <f t="array" ref="X401">IFERROR(INDEX(DFD!$K$2:$K$1048791,MATCH($Q401,DFD!$B$2:$B$1048791,0)),"")</f>
        <v/>
      </c>
      <c r="Y401" s="97" t="str">
        <f t="array" ref="Y401">IFERROR(INDEX(DFD!$L$2:$L$1048790,MATCH($Q401,DFD!$B$2:$B$1048790,0)),"")</f>
        <v/>
      </c>
      <c r="Z401" s="97">
        <f t="shared" si="13"/>
        <v>45</v>
      </c>
      <c r="AA401" s="87"/>
      <c r="AB401" s="87" t="s">
        <v>78</v>
      </c>
      <c r="AC401" s="87"/>
      <c r="AD401" s="99">
        <v>46043.0</v>
      </c>
      <c r="AE401" s="100">
        <f t="shared" si="8"/>
        <v>1</v>
      </c>
    </row>
    <row r="402" ht="15.75" customHeight="1">
      <c r="A402" s="59" t="s">
        <v>1433</v>
      </c>
      <c r="B402" s="59" t="s">
        <v>101</v>
      </c>
      <c r="C402" s="60" t="s">
        <v>1434</v>
      </c>
      <c r="D402" s="60" t="s">
        <v>51</v>
      </c>
      <c r="E402" s="60">
        <v>1.0</v>
      </c>
      <c r="F402" s="72">
        <v>70.0</v>
      </c>
      <c r="G402" s="73" t="s">
        <v>53</v>
      </c>
      <c r="H402" s="74">
        <v>46143.0</v>
      </c>
      <c r="I402" s="67" t="s">
        <v>17</v>
      </c>
      <c r="J402" s="67" t="s">
        <v>54</v>
      </c>
      <c r="K402" s="67" t="s">
        <v>66</v>
      </c>
      <c r="L402" s="67" t="s">
        <v>56</v>
      </c>
      <c r="M402" s="73" t="s">
        <v>112</v>
      </c>
      <c r="N402" s="67" t="s">
        <v>58</v>
      </c>
      <c r="O402" s="67" t="s">
        <v>89</v>
      </c>
      <c r="P402" s="59"/>
      <c r="Q402" s="59" t="s">
        <v>118</v>
      </c>
      <c r="R402" s="76" t="s">
        <v>181</v>
      </c>
      <c r="S402" s="59"/>
      <c r="T402" s="59"/>
      <c r="U402" s="77" t="str">
        <f t="array" ref="U402">IFERROR(INDEX(DFD!$D$2:$D$1048791,MATCH($Q402,DFD!$B$2:$B$1048791,0)),"")</f>
        <v/>
      </c>
      <c r="V402" s="77" t="str">
        <f t="array" ref="V402">IFERROR(INDEX(DFD!$F$2:$F$1048791,MATCH($Q402,DFD!$B$2:$B$1048791,0)),"")</f>
        <v/>
      </c>
      <c r="W402" s="84" t="str">
        <f t="array" ref="W402">IFERROR(INDEX(DFD!$E$2:$E$1048791,MATCH($Q402,DFD!$B$2:$B$1048791,0)),"")</f>
        <v/>
      </c>
      <c r="X402" s="84" t="str">
        <f t="array" ref="X402">IFERROR(INDEX(DFD!$K$2:$K$1048791,MATCH($Q402,DFD!$B$2:$B$1048791,0)),"")</f>
        <v/>
      </c>
      <c r="Y402" s="84" t="str">
        <f t="array" ref="Y402">IFERROR(INDEX(DFD!$L$2:$L$1048790,MATCH($Q402,DFD!$B$2:$B$1048790,0)),"")</f>
        <v/>
      </c>
      <c r="Z402" s="84">
        <f t="shared" si="13"/>
        <v>45</v>
      </c>
      <c r="AA402" s="59"/>
      <c r="AB402" s="59" t="s">
        <v>78</v>
      </c>
      <c r="AC402" s="59"/>
      <c r="AD402" s="85">
        <v>46043.0</v>
      </c>
      <c r="AE402" s="86">
        <f t="shared" si="8"/>
        <v>1</v>
      </c>
    </row>
    <row r="403" ht="15.75" customHeight="1">
      <c r="A403" s="87" t="s">
        <v>1435</v>
      </c>
      <c r="B403" s="92" t="s">
        <v>101</v>
      </c>
      <c r="C403" s="88" t="s">
        <v>1434</v>
      </c>
      <c r="D403" s="116" t="s">
        <v>51</v>
      </c>
      <c r="E403" s="116">
        <v>1.0</v>
      </c>
      <c r="F403" s="137">
        <v>70.0</v>
      </c>
      <c r="G403" s="90" t="s">
        <v>53</v>
      </c>
      <c r="H403" s="118">
        <v>46143.0</v>
      </c>
      <c r="I403" s="92" t="s">
        <v>17</v>
      </c>
      <c r="J403" s="92" t="s">
        <v>54</v>
      </c>
      <c r="K403" s="92" t="s">
        <v>66</v>
      </c>
      <c r="L403" s="92" t="s">
        <v>56</v>
      </c>
      <c r="M403" s="90" t="s">
        <v>132</v>
      </c>
      <c r="N403" s="92" t="s">
        <v>58</v>
      </c>
      <c r="O403" s="87" t="s">
        <v>69</v>
      </c>
      <c r="P403" s="87"/>
      <c r="Q403" s="87" t="s">
        <v>180</v>
      </c>
      <c r="R403" s="93" t="s">
        <v>181</v>
      </c>
      <c r="S403" s="87"/>
      <c r="T403" s="87"/>
      <c r="U403" s="94" t="str">
        <f t="array" ref="U403">IFERROR(INDEX(DFD!$D$2:$D$1048791,MATCH($Q403,DFD!$B$2:$B$1048791,0)),"")</f>
        <v/>
      </c>
      <c r="V403" s="94" t="str">
        <f t="array" ref="V403">IFERROR(INDEX(DFD!$F$2:$F$1048791,MATCH($Q403,DFD!$B$2:$B$1048791,0)),"")</f>
        <v/>
      </c>
      <c r="W403" s="97" t="str">
        <f t="array" ref="W403">IFERROR(INDEX(DFD!$E$2:$E$1048791,MATCH($Q403,DFD!$B$2:$B$1048791,0)),"")</f>
        <v/>
      </c>
      <c r="X403" s="97" t="str">
        <f t="array" ref="X403">IFERROR(INDEX(DFD!$K$2:$K$1048791,MATCH($Q403,DFD!$B$2:$B$1048791,0)),"")</f>
        <v/>
      </c>
      <c r="Y403" s="97" t="str">
        <f t="array" ref="Y403">IFERROR(INDEX(DFD!$L$2:$L$1048790,MATCH($Q403,DFD!$B$2:$B$1048790,0)),"")</f>
        <v/>
      </c>
      <c r="Z403" s="97">
        <f t="shared" si="13"/>
        <v>45</v>
      </c>
      <c r="AA403" s="87"/>
      <c r="AB403" s="87" t="s">
        <v>78</v>
      </c>
      <c r="AC403" s="87"/>
      <c r="AD403" s="99">
        <v>46043.0</v>
      </c>
      <c r="AE403" s="100">
        <f t="shared" si="8"/>
        <v>1</v>
      </c>
    </row>
    <row r="404" ht="15.75" customHeight="1">
      <c r="A404" s="59" t="s">
        <v>1436</v>
      </c>
      <c r="B404" s="59" t="s">
        <v>101</v>
      </c>
      <c r="C404" s="60" t="s">
        <v>1437</v>
      </c>
      <c r="D404" s="60" t="s">
        <v>51</v>
      </c>
      <c r="E404" s="60">
        <v>6.0</v>
      </c>
      <c r="F404" s="72">
        <v>30.0</v>
      </c>
      <c r="G404" s="73" t="s">
        <v>53</v>
      </c>
      <c r="H404" s="74">
        <v>46143.0</v>
      </c>
      <c r="I404" s="67" t="s">
        <v>17</v>
      </c>
      <c r="J404" s="67" t="s">
        <v>54</v>
      </c>
      <c r="K404" s="67" t="s">
        <v>66</v>
      </c>
      <c r="L404" s="67" t="s">
        <v>56</v>
      </c>
      <c r="M404" s="73" t="s">
        <v>132</v>
      </c>
      <c r="N404" s="67" t="s">
        <v>58</v>
      </c>
      <c r="O404" s="59" t="s">
        <v>69</v>
      </c>
      <c r="P404" s="59"/>
      <c r="Q404" s="59" t="s">
        <v>118</v>
      </c>
      <c r="R404" s="76" t="s">
        <v>181</v>
      </c>
      <c r="S404" s="59"/>
      <c r="T404" s="59"/>
      <c r="U404" s="77" t="str">
        <f t="array" ref="U404">IFERROR(INDEX(DFD!$D$2:$D$1048791,MATCH($Q404,DFD!$B$2:$B$1048791,0)),"")</f>
        <v/>
      </c>
      <c r="V404" s="77" t="str">
        <f t="array" ref="V404">IFERROR(INDEX(DFD!$F$2:$F$1048791,MATCH($Q404,DFD!$B$2:$B$1048791,0)),"")</f>
        <v/>
      </c>
      <c r="W404" s="84" t="str">
        <f t="array" ref="W404">IFERROR(INDEX(DFD!$E$2:$E$1048791,MATCH($Q404,DFD!$B$2:$B$1048791,0)),"")</f>
        <v/>
      </c>
      <c r="X404" s="84" t="str">
        <f t="array" ref="X404">IFERROR(INDEX(DFD!$K$2:$K$1048791,MATCH($Q404,DFD!$B$2:$B$1048791,0)),"")</f>
        <v/>
      </c>
      <c r="Y404" s="84" t="str">
        <f t="array" ref="Y404">IFERROR(INDEX(DFD!$L$2:$L$1048790,MATCH($Q404,DFD!$B$2:$B$1048790,0)),"")</f>
        <v/>
      </c>
      <c r="Z404" s="84">
        <f t="shared" si="13"/>
        <v>45</v>
      </c>
      <c r="AA404" s="59"/>
      <c r="AB404" s="59" t="s">
        <v>78</v>
      </c>
      <c r="AC404" s="59"/>
      <c r="AD404" s="85">
        <v>46043.0</v>
      </c>
      <c r="AE404" s="86">
        <f t="shared" si="8"/>
        <v>1</v>
      </c>
    </row>
    <row r="405" ht="15.75" customHeight="1">
      <c r="A405" s="87" t="s">
        <v>1438</v>
      </c>
      <c r="B405" s="87" t="s">
        <v>101</v>
      </c>
      <c r="C405" s="88" t="s">
        <v>1439</v>
      </c>
      <c r="D405" s="88" t="s">
        <v>51</v>
      </c>
      <c r="E405" s="88">
        <v>2.0</v>
      </c>
      <c r="F405" s="89">
        <v>200.0</v>
      </c>
      <c r="G405" s="90" t="s">
        <v>53</v>
      </c>
      <c r="H405" s="91">
        <v>46143.0</v>
      </c>
      <c r="I405" s="92" t="s">
        <v>17</v>
      </c>
      <c r="J405" s="92" t="s">
        <v>54</v>
      </c>
      <c r="K405" s="92" t="s">
        <v>66</v>
      </c>
      <c r="L405" s="92" t="s">
        <v>56</v>
      </c>
      <c r="M405" s="90" t="s">
        <v>104</v>
      </c>
      <c r="N405" s="92" t="s">
        <v>58</v>
      </c>
      <c r="O405" s="92" t="s">
        <v>89</v>
      </c>
      <c r="P405" s="87"/>
      <c r="Q405" s="87" t="s">
        <v>118</v>
      </c>
      <c r="R405" s="93" t="s">
        <v>181</v>
      </c>
      <c r="S405" s="87"/>
      <c r="T405" s="87"/>
      <c r="U405" s="94" t="str">
        <f t="array" ref="U405">IFERROR(INDEX(DFD!$D$2:$D$1048791,MATCH($Q405,DFD!$B$2:$B$1048791,0)),"")</f>
        <v/>
      </c>
      <c r="V405" s="94" t="str">
        <f t="array" ref="V405">IFERROR(INDEX(DFD!$F$2:$F$1048791,MATCH($Q405,DFD!$B$2:$B$1048791,0)),"")</f>
        <v/>
      </c>
      <c r="W405" s="97" t="str">
        <f t="array" ref="W405">IFERROR(INDEX(DFD!$E$2:$E$1048791,MATCH($Q405,DFD!$B$2:$B$1048791,0)),"")</f>
        <v/>
      </c>
      <c r="X405" s="97" t="str">
        <f t="array" ref="X405">IFERROR(INDEX(DFD!$K$2:$K$1048791,MATCH($Q405,DFD!$B$2:$B$1048791,0)),"")</f>
        <v/>
      </c>
      <c r="Y405" s="97" t="str">
        <f t="array" ref="Y405">IFERROR(INDEX(DFD!$L$2:$L$1048790,MATCH($Q405,DFD!$B$2:$B$1048790,0)),"")</f>
        <v/>
      </c>
      <c r="Z405" s="97">
        <f t="shared" si="13"/>
        <v>45</v>
      </c>
      <c r="AA405" s="87"/>
      <c r="AB405" s="87" t="s">
        <v>78</v>
      </c>
      <c r="AC405" s="87"/>
      <c r="AD405" s="99">
        <v>46043.0</v>
      </c>
      <c r="AE405" s="100">
        <f t="shared" si="8"/>
        <v>1</v>
      </c>
    </row>
    <row r="406" ht="15.75" customHeight="1">
      <c r="A406" s="59" t="s">
        <v>1440</v>
      </c>
      <c r="B406" s="59" t="s">
        <v>101</v>
      </c>
      <c r="C406" s="60" t="s">
        <v>1441</v>
      </c>
      <c r="D406" s="60" t="s">
        <v>51</v>
      </c>
      <c r="E406" s="60">
        <v>2.0</v>
      </c>
      <c r="F406" s="72">
        <v>200.0</v>
      </c>
      <c r="G406" s="73" t="s">
        <v>53</v>
      </c>
      <c r="H406" s="74">
        <v>46143.0</v>
      </c>
      <c r="I406" s="67" t="s">
        <v>17</v>
      </c>
      <c r="J406" s="67" t="s">
        <v>54</v>
      </c>
      <c r="K406" s="67" t="s">
        <v>66</v>
      </c>
      <c r="L406" s="67" t="s">
        <v>56</v>
      </c>
      <c r="M406" s="73" t="s">
        <v>104</v>
      </c>
      <c r="N406" s="67" t="s">
        <v>58</v>
      </c>
      <c r="O406" s="59" t="s">
        <v>69</v>
      </c>
      <c r="P406" s="59"/>
      <c r="Q406" s="59" t="s">
        <v>118</v>
      </c>
      <c r="R406" s="76" t="s">
        <v>181</v>
      </c>
      <c r="S406" s="59"/>
      <c r="T406" s="59"/>
      <c r="U406" s="77" t="str">
        <f t="array" ref="U406">IFERROR(INDEX(DFD!$D$2:$D$1048791,MATCH($Q406,DFD!$B$2:$B$1048791,0)),"")</f>
        <v/>
      </c>
      <c r="V406" s="77" t="str">
        <f t="array" ref="V406">IFERROR(INDEX(DFD!$F$2:$F$1048791,MATCH($Q406,DFD!$B$2:$B$1048791,0)),"")</f>
        <v/>
      </c>
      <c r="W406" s="84" t="str">
        <f t="array" ref="W406">IFERROR(INDEX(DFD!$E$2:$E$1048791,MATCH($Q406,DFD!$B$2:$B$1048791,0)),"")</f>
        <v/>
      </c>
      <c r="X406" s="84" t="str">
        <f t="array" ref="X406">IFERROR(INDEX(DFD!$K$2:$K$1048791,MATCH($Q406,DFD!$B$2:$B$1048791,0)),"")</f>
        <v/>
      </c>
      <c r="Y406" s="84" t="str">
        <f t="array" ref="Y406">IFERROR(INDEX(DFD!$L$2:$L$1048790,MATCH($Q406,DFD!$B$2:$B$1048790,0)),"")</f>
        <v/>
      </c>
      <c r="Z406" s="84">
        <f t="shared" si="13"/>
        <v>45</v>
      </c>
      <c r="AA406" s="59"/>
      <c r="AB406" s="59" t="s">
        <v>78</v>
      </c>
      <c r="AC406" s="59"/>
      <c r="AD406" s="85">
        <v>46043.0</v>
      </c>
      <c r="AE406" s="86">
        <f t="shared" si="8"/>
        <v>1</v>
      </c>
    </row>
    <row r="407" ht="15.75" customHeight="1">
      <c r="A407" s="87" t="s">
        <v>1442</v>
      </c>
      <c r="B407" s="87" t="s">
        <v>101</v>
      </c>
      <c r="C407" s="88" t="s">
        <v>1443</v>
      </c>
      <c r="D407" s="88" t="s">
        <v>51</v>
      </c>
      <c r="E407" s="88">
        <v>1.0</v>
      </c>
      <c r="F407" s="89">
        <v>1000.0</v>
      </c>
      <c r="G407" s="90" t="s">
        <v>53</v>
      </c>
      <c r="H407" s="91">
        <v>46174.0</v>
      </c>
      <c r="I407" s="92" t="s">
        <v>17</v>
      </c>
      <c r="J407" s="92" t="s">
        <v>54</v>
      </c>
      <c r="K407" s="92" t="s">
        <v>66</v>
      </c>
      <c r="L407" s="92" t="s">
        <v>56</v>
      </c>
      <c r="M407" s="90" t="s">
        <v>132</v>
      </c>
      <c r="N407" s="92" t="s">
        <v>58</v>
      </c>
      <c r="O407" s="87" t="s">
        <v>69</v>
      </c>
      <c r="P407" s="87"/>
      <c r="Q407" s="87" t="s">
        <v>118</v>
      </c>
      <c r="R407" s="93" t="s">
        <v>181</v>
      </c>
      <c r="S407" s="87"/>
      <c r="T407" s="87"/>
      <c r="U407" s="94" t="str">
        <f t="array" ref="U407">IFERROR(INDEX(DFD!$D$2:$D$1048791,MATCH($Q407,DFD!$B$2:$B$1048791,0)),"")</f>
        <v/>
      </c>
      <c r="V407" s="94" t="str">
        <f t="array" ref="V407">IFERROR(INDEX(DFD!$F$2:$F$1048791,MATCH($Q407,DFD!$B$2:$B$1048791,0)),"")</f>
        <v/>
      </c>
      <c r="W407" s="97" t="str">
        <f t="array" ref="W407">IFERROR(INDEX(DFD!$E$2:$E$1048791,MATCH($Q407,DFD!$B$2:$B$1048791,0)),"")</f>
        <v/>
      </c>
      <c r="X407" s="97" t="str">
        <f t="array" ref="X407">IFERROR(INDEX(DFD!$K$2:$K$1048791,MATCH($Q407,DFD!$B$2:$B$1048791,0)),"")</f>
        <v/>
      </c>
      <c r="Y407" s="97" t="str">
        <f t="array" ref="Y407">IFERROR(INDEX(DFD!$L$2:$L$1048790,MATCH($Q407,DFD!$B$2:$B$1048790,0)),"")</f>
        <v/>
      </c>
      <c r="Z407" s="97">
        <f t="shared" si="13"/>
        <v>45</v>
      </c>
      <c r="AA407" s="87"/>
      <c r="AB407" s="87" t="s">
        <v>78</v>
      </c>
      <c r="AC407" s="87"/>
      <c r="AD407" s="99">
        <v>46043.0</v>
      </c>
      <c r="AE407" s="100">
        <f t="shared" si="8"/>
        <v>1</v>
      </c>
    </row>
    <row r="408" ht="36.75" customHeight="1">
      <c r="A408" s="59" t="s">
        <v>1444</v>
      </c>
      <c r="B408" s="59" t="s">
        <v>400</v>
      </c>
      <c r="C408" s="60" t="s">
        <v>1445</v>
      </c>
      <c r="D408" s="60" t="s">
        <v>51</v>
      </c>
      <c r="E408" s="60">
        <v>30.0</v>
      </c>
      <c r="F408" s="72">
        <v>7500.0</v>
      </c>
      <c r="G408" s="73" t="s">
        <v>53</v>
      </c>
      <c r="H408" s="74">
        <v>46204.0</v>
      </c>
      <c r="I408" s="67" t="s">
        <v>17</v>
      </c>
      <c r="J408" s="67" t="s">
        <v>54</v>
      </c>
      <c r="K408" s="67" t="s">
        <v>66</v>
      </c>
      <c r="L408" s="67" t="s">
        <v>56</v>
      </c>
      <c r="M408" s="73" t="s">
        <v>68</v>
      </c>
      <c r="N408" s="67" t="s">
        <v>58</v>
      </c>
      <c r="O408" s="67" t="s">
        <v>89</v>
      </c>
      <c r="P408" s="59"/>
      <c r="Q408" s="59" t="s">
        <v>752</v>
      </c>
      <c r="R408" s="76" t="s">
        <v>753</v>
      </c>
      <c r="S408" s="59"/>
      <c r="T408" s="59"/>
      <c r="U408" s="77" t="str">
        <f t="array" ref="U408">IFERROR(INDEX(DFD!$D$2:$D$1048791,MATCH($Q408,DFD!$B$2:$B$1048791,0)),"")</f>
        <v/>
      </c>
      <c r="V408" s="77" t="str">
        <f t="array" ref="V408">IFERROR(INDEX(DFD!$F$2:$F$1048791,MATCH($Q408,DFD!$B$2:$B$1048791,0)),"")</f>
        <v/>
      </c>
      <c r="W408" s="84" t="str">
        <f t="array" ref="W408">IFERROR(INDEX(DFD!$E$2:$E$1048791,MATCH($Q408,DFD!$B$2:$B$1048791,0)),"")</f>
        <v/>
      </c>
      <c r="X408" s="84" t="str">
        <f t="array" ref="X408">IFERROR(INDEX(DFD!$K$2:$K$1048791,MATCH($Q408,DFD!$B$2:$B$1048791,0)),"")</f>
        <v/>
      </c>
      <c r="Y408" s="84" t="str">
        <f t="array" ref="Y408">IFERROR(INDEX(DFD!$L$2:$L$1048790,MATCH($Q408,DFD!$B$2:$B$1048790,0)),"")</f>
        <v/>
      </c>
      <c r="Z408" s="84">
        <f t="shared" si="13"/>
        <v>45</v>
      </c>
      <c r="AA408" s="59"/>
      <c r="AB408" s="59" t="s">
        <v>78</v>
      </c>
      <c r="AC408" s="59"/>
      <c r="AD408" s="85">
        <v>46043.0</v>
      </c>
      <c r="AE408" s="86">
        <f t="shared" si="8"/>
        <v>1</v>
      </c>
    </row>
    <row r="409" ht="35.25" customHeight="1">
      <c r="A409" s="92" t="s">
        <v>1446</v>
      </c>
      <c r="B409" s="87" t="s">
        <v>184</v>
      </c>
      <c r="C409" s="88" t="s">
        <v>1447</v>
      </c>
      <c r="D409" s="88" t="s">
        <v>51</v>
      </c>
      <c r="E409" s="88">
        <v>3.0</v>
      </c>
      <c r="F409" s="89">
        <v>96.0</v>
      </c>
      <c r="G409" s="90" t="s">
        <v>53</v>
      </c>
      <c r="H409" s="91">
        <v>46266.0</v>
      </c>
      <c r="I409" s="92" t="s">
        <v>17</v>
      </c>
      <c r="J409" s="92" t="s">
        <v>54</v>
      </c>
      <c r="K409" s="92" t="s">
        <v>372</v>
      </c>
      <c r="L409" s="92" t="s">
        <v>67</v>
      </c>
      <c r="M409" s="90" t="s">
        <v>104</v>
      </c>
      <c r="N409" s="92" t="s">
        <v>20</v>
      </c>
      <c r="O409" s="87" t="s">
        <v>69</v>
      </c>
      <c r="P409" s="87"/>
      <c r="Q409" s="87" t="s">
        <v>113</v>
      </c>
      <c r="R409" s="93" t="s">
        <v>616</v>
      </c>
      <c r="S409" s="129"/>
      <c r="T409" s="87"/>
      <c r="U409" s="94" t="str">
        <f t="array" ref="U409">IFERROR(INDEX(DFD!$D$2:$D$1048791,MATCH($Q409,DFD!$B$2:$B$1048791,0)),"")</f>
        <v/>
      </c>
      <c r="V409" s="94" t="str">
        <f t="array" ref="V409">IFERROR(INDEX(DFD!$F$2:$F$1048791,MATCH($Q409,DFD!$B$2:$B$1048791,0)),"")</f>
        <v/>
      </c>
      <c r="W409" s="97" t="str">
        <f t="array" ref="W409">IFERROR(INDEX(DFD!$E$2:$E$1048791,MATCH($Q409,DFD!$B$2:$B$1048791,0)),"")</f>
        <v/>
      </c>
      <c r="X409" s="97" t="str">
        <f t="array" ref="X409">IFERROR(INDEX(DFD!$K$2:$K$1048791,MATCH($Q409,DFD!$B$2:$B$1048791,0)),"")</f>
        <v/>
      </c>
      <c r="Y409" s="97" t="str">
        <f t="array" ref="Y409">IFERROR(INDEX(DFD!$L$2:$L$1048790,MATCH($Q409,DFD!$B$2:$B$1048790,0)),"")</f>
        <v/>
      </c>
      <c r="Z409" s="97">
        <f t="shared" si="13"/>
        <v>45</v>
      </c>
      <c r="AA409" s="87" t="s">
        <v>746</v>
      </c>
      <c r="AB409" s="87" t="s">
        <v>78</v>
      </c>
      <c r="AC409" s="87"/>
      <c r="AD409" s="99">
        <v>46043.0</v>
      </c>
      <c r="AE409" s="100">
        <f t="shared" si="8"/>
        <v>1</v>
      </c>
    </row>
    <row r="410" ht="15.75" customHeight="1">
      <c r="A410" s="67" t="s">
        <v>1448</v>
      </c>
      <c r="B410" s="59" t="s">
        <v>184</v>
      </c>
      <c r="C410" s="60" t="s">
        <v>1449</v>
      </c>
      <c r="D410" s="60" t="s">
        <v>51</v>
      </c>
      <c r="E410" s="60">
        <v>3.0</v>
      </c>
      <c r="F410" s="72">
        <v>96.0</v>
      </c>
      <c r="G410" s="73" t="s">
        <v>53</v>
      </c>
      <c r="H410" s="74">
        <v>46266.0</v>
      </c>
      <c r="I410" s="67" t="s">
        <v>17</v>
      </c>
      <c r="J410" s="67" t="s">
        <v>54</v>
      </c>
      <c r="K410" s="67" t="s">
        <v>372</v>
      </c>
      <c r="L410" s="67" t="s">
        <v>67</v>
      </c>
      <c r="M410" s="73" t="s">
        <v>104</v>
      </c>
      <c r="N410" s="67" t="s">
        <v>20</v>
      </c>
      <c r="O410" s="59" t="s">
        <v>69</v>
      </c>
      <c r="P410" s="59"/>
      <c r="Q410" s="59" t="s">
        <v>113</v>
      </c>
      <c r="R410" s="76" t="s">
        <v>616</v>
      </c>
      <c r="S410" s="120"/>
      <c r="T410" s="59"/>
      <c r="U410" s="77" t="str">
        <f t="array" ref="U410">IFERROR(INDEX(DFD!$D$2:$D$1048791,MATCH($Q410,DFD!$B$2:$B$1048791,0)),"")</f>
        <v/>
      </c>
      <c r="V410" s="77" t="str">
        <f t="array" ref="V410">IFERROR(INDEX(DFD!$F$2:$F$1048791,MATCH($Q410,DFD!$B$2:$B$1048791,0)),"")</f>
        <v/>
      </c>
      <c r="W410" s="84" t="str">
        <f t="array" ref="W410">IFERROR(INDEX(DFD!$E$2:$E$1048791,MATCH($Q410,DFD!$B$2:$B$1048791,0)),"")</f>
        <v/>
      </c>
      <c r="X410" s="84" t="str">
        <f t="array" ref="X410">IFERROR(INDEX(DFD!$K$2:$K$1048791,MATCH($Q410,DFD!$B$2:$B$1048791,0)),"")</f>
        <v/>
      </c>
      <c r="Y410" s="84" t="str">
        <f t="array" ref="Y410">IFERROR(INDEX(DFD!$L$2:$L$1048790,MATCH($Q410,DFD!$B$2:$B$1048790,0)),"")</f>
        <v/>
      </c>
      <c r="Z410" s="84">
        <f t="shared" si="13"/>
        <v>45</v>
      </c>
      <c r="AA410" s="59" t="s">
        <v>746</v>
      </c>
      <c r="AB410" s="59" t="s">
        <v>78</v>
      </c>
      <c r="AC410" s="59"/>
      <c r="AD410" s="85">
        <v>46043.0</v>
      </c>
      <c r="AE410" s="86">
        <f t="shared" si="8"/>
        <v>1</v>
      </c>
    </row>
    <row r="411" ht="15.75" customHeight="1">
      <c r="A411" s="92" t="s">
        <v>1450</v>
      </c>
      <c r="B411" s="87" t="s">
        <v>184</v>
      </c>
      <c r="C411" s="88" t="s">
        <v>1451</v>
      </c>
      <c r="D411" s="88" t="s">
        <v>51</v>
      </c>
      <c r="E411" s="88">
        <v>3.0</v>
      </c>
      <c r="F411" s="89">
        <v>135.0</v>
      </c>
      <c r="G411" s="90" t="s">
        <v>53</v>
      </c>
      <c r="H411" s="91">
        <v>46266.0</v>
      </c>
      <c r="I411" s="92" t="s">
        <v>17</v>
      </c>
      <c r="J411" s="92" t="s">
        <v>54</v>
      </c>
      <c r="K411" s="92" t="s">
        <v>372</v>
      </c>
      <c r="L411" s="92" t="s">
        <v>67</v>
      </c>
      <c r="M411" s="90" t="s">
        <v>104</v>
      </c>
      <c r="N411" s="92" t="s">
        <v>20</v>
      </c>
      <c r="O411" s="92" t="s">
        <v>89</v>
      </c>
      <c r="P411" s="87"/>
      <c r="Q411" s="87" t="s">
        <v>113</v>
      </c>
      <c r="R411" s="93" t="s">
        <v>616</v>
      </c>
      <c r="S411" s="129"/>
      <c r="T411" s="87"/>
      <c r="U411" s="94" t="str">
        <f t="array" ref="U411">IFERROR(INDEX(DFD!$D$2:$D$1048791,MATCH($Q411,DFD!$B$2:$B$1048791,0)),"")</f>
        <v/>
      </c>
      <c r="V411" s="94" t="str">
        <f t="array" ref="V411">IFERROR(INDEX(DFD!$F$2:$F$1048791,MATCH($Q411,DFD!$B$2:$B$1048791,0)),"")</f>
        <v/>
      </c>
      <c r="W411" s="97" t="str">
        <f t="array" ref="W411">IFERROR(INDEX(DFD!$E$2:$E$1048791,MATCH($Q411,DFD!$B$2:$B$1048791,0)),"")</f>
        <v/>
      </c>
      <c r="X411" s="97" t="str">
        <f t="array" ref="X411">IFERROR(INDEX(DFD!$K$2:$K$1048791,MATCH($Q411,DFD!$B$2:$B$1048791,0)),"")</f>
        <v/>
      </c>
      <c r="Y411" s="97" t="str">
        <f t="array" ref="Y411">IFERROR(INDEX(DFD!$L$2:$L$1048790,MATCH($Q411,DFD!$B$2:$B$1048790,0)),"")</f>
        <v/>
      </c>
      <c r="Z411" s="97">
        <f t="shared" si="13"/>
        <v>45</v>
      </c>
      <c r="AA411" s="87" t="s">
        <v>746</v>
      </c>
      <c r="AB411" s="87" t="s">
        <v>78</v>
      </c>
      <c r="AC411" s="87"/>
      <c r="AD411" s="99">
        <v>46043.0</v>
      </c>
      <c r="AE411" s="100">
        <f t="shared" si="8"/>
        <v>1</v>
      </c>
    </row>
    <row r="412" ht="15.75" customHeight="1">
      <c r="A412" s="67" t="s">
        <v>1452</v>
      </c>
      <c r="B412" s="59" t="s">
        <v>184</v>
      </c>
      <c r="C412" s="60" t="s">
        <v>1453</v>
      </c>
      <c r="D412" s="60" t="s">
        <v>51</v>
      </c>
      <c r="E412" s="60">
        <v>3.0</v>
      </c>
      <c r="F412" s="72">
        <v>750.0</v>
      </c>
      <c r="G412" s="73" t="s">
        <v>53</v>
      </c>
      <c r="H412" s="74">
        <v>46266.0</v>
      </c>
      <c r="I412" s="67" t="s">
        <v>17</v>
      </c>
      <c r="J412" s="67" t="s">
        <v>54</v>
      </c>
      <c r="K412" s="67" t="s">
        <v>372</v>
      </c>
      <c r="L412" s="67" t="s">
        <v>67</v>
      </c>
      <c r="M412" s="73" t="s">
        <v>104</v>
      </c>
      <c r="N412" s="67" t="s">
        <v>20</v>
      </c>
      <c r="O412" s="59" t="s">
        <v>69</v>
      </c>
      <c r="P412" s="59"/>
      <c r="Q412" s="59" t="s">
        <v>113</v>
      </c>
      <c r="R412" s="76" t="s">
        <v>616</v>
      </c>
      <c r="S412" s="120"/>
      <c r="T412" s="59"/>
      <c r="U412" s="77" t="str">
        <f t="array" ref="U412">IFERROR(INDEX(DFD!$D$2:$D$1048791,MATCH($Q412,DFD!$B$2:$B$1048791,0)),"")</f>
        <v/>
      </c>
      <c r="V412" s="77" t="str">
        <f t="array" ref="V412">IFERROR(INDEX(DFD!$F$2:$F$1048791,MATCH($Q412,DFD!$B$2:$B$1048791,0)),"")</f>
        <v/>
      </c>
      <c r="W412" s="84" t="str">
        <f t="array" ref="W412">IFERROR(INDEX(DFD!$E$2:$E$1048791,MATCH($Q412,DFD!$B$2:$B$1048791,0)),"")</f>
        <v/>
      </c>
      <c r="X412" s="84" t="str">
        <f t="array" ref="X412">IFERROR(INDEX(DFD!$K$2:$K$1048791,MATCH($Q412,DFD!$B$2:$B$1048791,0)),"")</f>
        <v/>
      </c>
      <c r="Y412" s="84" t="str">
        <f t="array" ref="Y412">IFERROR(INDEX(DFD!$L$2:$L$1048790,MATCH($Q412,DFD!$B$2:$B$1048790,0)),"")</f>
        <v/>
      </c>
      <c r="Z412" s="84">
        <f t="shared" si="13"/>
        <v>45</v>
      </c>
      <c r="AA412" s="59" t="s">
        <v>746</v>
      </c>
      <c r="AB412" s="59" t="s">
        <v>78</v>
      </c>
      <c r="AC412" s="59"/>
      <c r="AD412" s="85">
        <v>46043.0</v>
      </c>
      <c r="AE412" s="86">
        <f t="shared" si="8"/>
        <v>1</v>
      </c>
    </row>
    <row r="413" ht="15.75" customHeight="1">
      <c r="A413" s="92" t="s">
        <v>1454</v>
      </c>
      <c r="B413" s="87" t="s">
        <v>184</v>
      </c>
      <c r="C413" s="88" t="s">
        <v>1455</v>
      </c>
      <c r="D413" s="88" t="s">
        <v>51</v>
      </c>
      <c r="E413" s="88">
        <v>3.0</v>
      </c>
      <c r="F413" s="89">
        <v>30.0</v>
      </c>
      <c r="G413" s="90" t="s">
        <v>53</v>
      </c>
      <c r="H413" s="91">
        <v>46266.0</v>
      </c>
      <c r="I413" s="92" t="s">
        <v>17</v>
      </c>
      <c r="J413" s="92" t="s">
        <v>54</v>
      </c>
      <c r="K413" s="92" t="s">
        <v>372</v>
      </c>
      <c r="L413" s="92" t="s">
        <v>67</v>
      </c>
      <c r="M413" s="90" t="s">
        <v>104</v>
      </c>
      <c r="N413" s="92" t="s">
        <v>20</v>
      </c>
      <c r="O413" s="87" t="s">
        <v>69</v>
      </c>
      <c r="P413" s="87"/>
      <c r="Q413" s="87" t="s">
        <v>113</v>
      </c>
      <c r="R413" s="93" t="s">
        <v>616</v>
      </c>
      <c r="S413" s="129"/>
      <c r="T413" s="87"/>
      <c r="U413" s="94" t="str">
        <f t="array" ref="U413">IFERROR(INDEX(DFD!$D$2:$D$1048791,MATCH($Q413,DFD!$B$2:$B$1048791,0)),"")</f>
        <v/>
      </c>
      <c r="V413" s="94" t="str">
        <f t="array" ref="V413">IFERROR(INDEX(DFD!$F$2:$F$1048791,MATCH($Q413,DFD!$B$2:$B$1048791,0)),"")</f>
        <v/>
      </c>
      <c r="W413" s="97" t="str">
        <f t="array" ref="W413">IFERROR(INDEX(DFD!$E$2:$E$1048791,MATCH($Q413,DFD!$B$2:$B$1048791,0)),"")</f>
        <v/>
      </c>
      <c r="X413" s="97" t="str">
        <f t="array" ref="X413">IFERROR(INDEX(DFD!$K$2:$K$1048791,MATCH($Q413,DFD!$B$2:$B$1048791,0)),"")</f>
        <v/>
      </c>
      <c r="Y413" s="97" t="str">
        <f t="array" ref="Y413">IFERROR(INDEX(DFD!$L$2:$L$1048790,MATCH($Q413,DFD!$B$2:$B$1048790,0)),"")</f>
        <v/>
      </c>
      <c r="Z413" s="97">
        <f t="shared" si="13"/>
        <v>45</v>
      </c>
      <c r="AA413" s="87" t="s">
        <v>746</v>
      </c>
      <c r="AB413" s="87" t="s">
        <v>78</v>
      </c>
      <c r="AC413" s="87"/>
      <c r="AD413" s="99">
        <v>46043.0</v>
      </c>
      <c r="AE413" s="100">
        <f t="shared" si="8"/>
        <v>1</v>
      </c>
    </row>
    <row r="414" ht="15.75" customHeight="1">
      <c r="A414" s="67" t="s">
        <v>1456</v>
      </c>
      <c r="B414" s="59" t="s">
        <v>184</v>
      </c>
      <c r="C414" s="60" t="s">
        <v>1457</v>
      </c>
      <c r="D414" s="60" t="s">
        <v>51</v>
      </c>
      <c r="E414" s="60">
        <v>3.0</v>
      </c>
      <c r="F414" s="72">
        <v>30.0</v>
      </c>
      <c r="G414" s="73" t="s">
        <v>53</v>
      </c>
      <c r="H414" s="74">
        <v>46266.0</v>
      </c>
      <c r="I414" s="67" t="s">
        <v>17</v>
      </c>
      <c r="J414" s="67" t="s">
        <v>54</v>
      </c>
      <c r="K414" s="67" t="s">
        <v>372</v>
      </c>
      <c r="L414" s="67" t="s">
        <v>67</v>
      </c>
      <c r="M414" s="73" t="s">
        <v>104</v>
      </c>
      <c r="N414" s="67" t="s">
        <v>20</v>
      </c>
      <c r="O414" s="67" t="s">
        <v>89</v>
      </c>
      <c r="P414" s="59"/>
      <c r="Q414" s="59" t="s">
        <v>113</v>
      </c>
      <c r="R414" s="76" t="s">
        <v>616</v>
      </c>
      <c r="S414" s="120"/>
      <c r="T414" s="59"/>
      <c r="U414" s="77" t="str">
        <f t="array" ref="U414">IFERROR(INDEX(DFD!$D$2:$D$1048791,MATCH($Q414,DFD!$B$2:$B$1048791,0)),"")</f>
        <v/>
      </c>
      <c r="V414" s="77" t="str">
        <f t="array" ref="V414">IFERROR(INDEX(DFD!$F$2:$F$1048791,MATCH($Q414,DFD!$B$2:$B$1048791,0)),"")</f>
        <v/>
      </c>
      <c r="W414" s="84" t="str">
        <f t="array" ref="W414">IFERROR(INDEX(DFD!$E$2:$E$1048791,MATCH($Q414,DFD!$B$2:$B$1048791,0)),"")</f>
        <v/>
      </c>
      <c r="X414" s="84" t="str">
        <f t="array" ref="X414">IFERROR(INDEX(DFD!$K$2:$K$1048791,MATCH($Q414,DFD!$B$2:$B$1048791,0)),"")</f>
        <v/>
      </c>
      <c r="Y414" s="84" t="str">
        <f t="array" ref="Y414">IFERROR(INDEX(DFD!$L$2:$L$1048790,MATCH($Q414,DFD!$B$2:$B$1048790,0)),"")</f>
        <v/>
      </c>
      <c r="Z414" s="84">
        <f t="shared" si="13"/>
        <v>45</v>
      </c>
      <c r="AA414" s="59" t="s">
        <v>746</v>
      </c>
      <c r="AB414" s="59" t="s">
        <v>78</v>
      </c>
      <c r="AC414" s="59"/>
      <c r="AD414" s="85">
        <v>46043.0</v>
      </c>
      <c r="AE414" s="86">
        <f t="shared" si="8"/>
        <v>1</v>
      </c>
    </row>
    <row r="415" ht="15.75" customHeight="1">
      <c r="A415" s="92" t="s">
        <v>1458</v>
      </c>
      <c r="B415" s="87" t="s">
        <v>184</v>
      </c>
      <c r="C415" s="88" t="s">
        <v>1459</v>
      </c>
      <c r="D415" s="88" t="s">
        <v>51</v>
      </c>
      <c r="E415" s="88">
        <v>3.0</v>
      </c>
      <c r="F415" s="89">
        <v>30.0</v>
      </c>
      <c r="G415" s="90" t="s">
        <v>53</v>
      </c>
      <c r="H415" s="91">
        <v>46266.0</v>
      </c>
      <c r="I415" s="92" t="s">
        <v>17</v>
      </c>
      <c r="J415" s="92" t="s">
        <v>54</v>
      </c>
      <c r="K415" s="92" t="s">
        <v>372</v>
      </c>
      <c r="L415" s="92" t="s">
        <v>67</v>
      </c>
      <c r="M415" s="90" t="s">
        <v>104</v>
      </c>
      <c r="N415" s="92" t="s">
        <v>20</v>
      </c>
      <c r="O415" s="87" t="s">
        <v>69</v>
      </c>
      <c r="P415" s="87"/>
      <c r="Q415" s="87" t="s">
        <v>113</v>
      </c>
      <c r="R415" s="93" t="s">
        <v>616</v>
      </c>
      <c r="S415" s="129"/>
      <c r="T415" s="87"/>
      <c r="U415" s="94" t="str">
        <f t="array" ref="U415">IFERROR(INDEX(DFD!$D$2:$D$1048791,MATCH($Q415,DFD!$B$2:$B$1048791,0)),"")</f>
        <v/>
      </c>
      <c r="V415" s="94" t="str">
        <f t="array" ref="V415">IFERROR(INDEX(DFD!$F$2:$F$1048791,MATCH($Q415,DFD!$B$2:$B$1048791,0)),"")</f>
        <v/>
      </c>
      <c r="W415" s="97" t="str">
        <f t="array" ref="W415">IFERROR(INDEX(DFD!$E$2:$E$1048791,MATCH($Q415,DFD!$B$2:$B$1048791,0)),"")</f>
        <v/>
      </c>
      <c r="X415" s="97" t="str">
        <f t="array" ref="X415">IFERROR(INDEX(DFD!$K$2:$K$1048791,MATCH($Q415,DFD!$B$2:$B$1048791,0)),"")</f>
        <v/>
      </c>
      <c r="Y415" s="97" t="str">
        <f t="array" ref="Y415">IFERROR(INDEX(DFD!$L$2:$L$1048790,MATCH($Q415,DFD!$B$2:$B$1048790,0)),"")</f>
        <v/>
      </c>
      <c r="Z415" s="97">
        <f t="shared" si="13"/>
        <v>45</v>
      </c>
      <c r="AA415" s="87" t="s">
        <v>746</v>
      </c>
      <c r="AB415" s="87" t="s">
        <v>78</v>
      </c>
      <c r="AC415" s="87"/>
      <c r="AD415" s="99">
        <v>46043.0</v>
      </c>
      <c r="AE415" s="100">
        <f t="shared" si="8"/>
        <v>1</v>
      </c>
    </row>
    <row r="416" ht="15.75" customHeight="1">
      <c r="A416" s="67" t="s">
        <v>1460</v>
      </c>
      <c r="B416" s="59" t="s">
        <v>184</v>
      </c>
      <c r="C416" s="60" t="s">
        <v>1461</v>
      </c>
      <c r="D416" s="60" t="s">
        <v>51</v>
      </c>
      <c r="E416" s="60">
        <v>3.0</v>
      </c>
      <c r="F416" s="72">
        <v>105.0</v>
      </c>
      <c r="G416" s="73" t="s">
        <v>53</v>
      </c>
      <c r="H416" s="74">
        <v>46266.0</v>
      </c>
      <c r="I416" s="67" t="s">
        <v>17</v>
      </c>
      <c r="J416" s="67" t="s">
        <v>54</v>
      </c>
      <c r="K416" s="67" t="s">
        <v>372</v>
      </c>
      <c r="L416" s="67" t="s">
        <v>67</v>
      </c>
      <c r="M416" s="73" t="s">
        <v>104</v>
      </c>
      <c r="N416" s="67" t="s">
        <v>20</v>
      </c>
      <c r="O416" s="59" t="s">
        <v>69</v>
      </c>
      <c r="P416" s="59"/>
      <c r="Q416" s="59" t="s">
        <v>113</v>
      </c>
      <c r="R416" s="76" t="s">
        <v>616</v>
      </c>
      <c r="S416" s="120"/>
      <c r="T416" s="59"/>
      <c r="U416" s="77" t="str">
        <f t="array" ref="U416">IFERROR(INDEX(DFD!$D$2:$D$1048791,MATCH($Q416,DFD!$B$2:$B$1048791,0)),"")</f>
        <v/>
      </c>
      <c r="V416" s="77" t="str">
        <f t="array" ref="V416">IFERROR(INDEX(DFD!$F$2:$F$1048791,MATCH($Q416,DFD!$B$2:$B$1048791,0)),"")</f>
        <v/>
      </c>
      <c r="W416" s="84" t="str">
        <f t="array" ref="W416">IFERROR(INDEX(DFD!$E$2:$E$1048791,MATCH($Q416,DFD!$B$2:$B$1048791,0)),"")</f>
        <v/>
      </c>
      <c r="X416" s="84" t="str">
        <f t="array" ref="X416">IFERROR(INDEX(DFD!$K$2:$K$1048791,MATCH($Q416,DFD!$B$2:$B$1048791,0)),"")</f>
        <v/>
      </c>
      <c r="Y416" s="84" t="str">
        <f t="array" ref="Y416">IFERROR(INDEX(DFD!$L$2:$L$1048790,MATCH($Q416,DFD!$B$2:$B$1048790,0)),"")</f>
        <v/>
      </c>
      <c r="Z416" s="84">
        <f t="shared" si="13"/>
        <v>45</v>
      </c>
      <c r="AA416" s="59" t="s">
        <v>746</v>
      </c>
      <c r="AB416" s="59" t="s">
        <v>78</v>
      </c>
      <c r="AC416" s="59"/>
      <c r="AD416" s="85">
        <v>46043.0</v>
      </c>
      <c r="AE416" s="86">
        <f t="shared" si="8"/>
        <v>1</v>
      </c>
    </row>
    <row r="417" ht="15.75" customHeight="1">
      <c r="A417" s="92" t="s">
        <v>1462</v>
      </c>
      <c r="B417" s="87" t="s">
        <v>184</v>
      </c>
      <c r="C417" s="88" t="s">
        <v>1463</v>
      </c>
      <c r="D417" s="88" t="s">
        <v>51</v>
      </c>
      <c r="E417" s="88">
        <v>3.0</v>
      </c>
      <c r="F417" s="89">
        <v>150.0</v>
      </c>
      <c r="G417" s="90" t="s">
        <v>53</v>
      </c>
      <c r="H417" s="91">
        <v>46266.0</v>
      </c>
      <c r="I417" s="92" t="s">
        <v>17</v>
      </c>
      <c r="J417" s="92" t="s">
        <v>54</v>
      </c>
      <c r="K417" s="92" t="s">
        <v>372</v>
      </c>
      <c r="L417" s="92" t="s">
        <v>67</v>
      </c>
      <c r="M417" s="90" t="s">
        <v>104</v>
      </c>
      <c r="N417" s="92" t="s">
        <v>20</v>
      </c>
      <c r="O417" s="92" t="s">
        <v>89</v>
      </c>
      <c r="P417" s="87"/>
      <c r="Q417" s="87" t="s">
        <v>113</v>
      </c>
      <c r="R417" s="93" t="s">
        <v>616</v>
      </c>
      <c r="S417" s="129"/>
      <c r="T417" s="87"/>
      <c r="U417" s="94" t="str">
        <f t="array" ref="U417">IFERROR(INDEX(DFD!$D$2:$D$1048791,MATCH($Q417,DFD!$B$2:$B$1048791,0)),"")</f>
        <v/>
      </c>
      <c r="V417" s="94" t="str">
        <f t="array" ref="V417">IFERROR(INDEX(DFD!$F$2:$F$1048791,MATCH($Q417,DFD!$B$2:$B$1048791,0)),"")</f>
        <v/>
      </c>
      <c r="W417" s="97" t="str">
        <f t="array" ref="W417">IFERROR(INDEX(DFD!$E$2:$E$1048791,MATCH($Q417,DFD!$B$2:$B$1048791,0)),"")</f>
        <v/>
      </c>
      <c r="X417" s="97" t="str">
        <f t="array" ref="X417">IFERROR(INDEX(DFD!$K$2:$K$1048791,MATCH($Q417,DFD!$B$2:$B$1048791,0)),"")</f>
        <v/>
      </c>
      <c r="Y417" s="97" t="str">
        <f t="array" ref="Y417">IFERROR(INDEX(DFD!$L$2:$L$1048790,MATCH($Q417,DFD!$B$2:$B$1048790,0)),"")</f>
        <v/>
      </c>
      <c r="Z417" s="97">
        <f t="shared" si="13"/>
        <v>45</v>
      </c>
      <c r="AA417" s="87" t="s">
        <v>746</v>
      </c>
      <c r="AB417" s="87" t="s">
        <v>78</v>
      </c>
      <c r="AC417" s="87"/>
      <c r="AD417" s="99">
        <v>46043.0</v>
      </c>
      <c r="AE417" s="100">
        <f t="shared" si="8"/>
        <v>1</v>
      </c>
    </row>
    <row r="418" ht="15.75" customHeight="1">
      <c r="A418" s="67" t="s">
        <v>1464</v>
      </c>
      <c r="B418" s="59" t="s">
        <v>184</v>
      </c>
      <c r="C418" s="60" t="s">
        <v>1465</v>
      </c>
      <c r="D418" s="60" t="s">
        <v>51</v>
      </c>
      <c r="E418" s="60">
        <v>3.0</v>
      </c>
      <c r="F418" s="72">
        <v>150.0</v>
      </c>
      <c r="G418" s="73" t="s">
        <v>53</v>
      </c>
      <c r="H418" s="74">
        <v>46266.0</v>
      </c>
      <c r="I418" s="67" t="s">
        <v>17</v>
      </c>
      <c r="J418" s="67" t="s">
        <v>54</v>
      </c>
      <c r="K418" s="67" t="s">
        <v>372</v>
      </c>
      <c r="L418" s="67" t="s">
        <v>67</v>
      </c>
      <c r="M418" s="73" t="s">
        <v>104</v>
      </c>
      <c r="N418" s="67" t="s">
        <v>20</v>
      </c>
      <c r="O418" s="59" t="s">
        <v>69</v>
      </c>
      <c r="P418" s="59"/>
      <c r="Q418" s="59" t="s">
        <v>113</v>
      </c>
      <c r="R418" s="76" t="s">
        <v>616</v>
      </c>
      <c r="S418" s="120"/>
      <c r="T418" s="59"/>
      <c r="U418" s="77" t="str">
        <f t="array" ref="U418">IFERROR(INDEX(DFD!$D$2:$D$1048791,MATCH($Q418,DFD!$B$2:$B$1048791,0)),"")</f>
        <v/>
      </c>
      <c r="V418" s="77" t="str">
        <f t="array" ref="V418">IFERROR(INDEX(DFD!$F$2:$F$1048791,MATCH($Q418,DFD!$B$2:$B$1048791,0)),"")</f>
        <v/>
      </c>
      <c r="W418" s="84" t="str">
        <f t="array" ref="W418">IFERROR(INDEX(DFD!$E$2:$E$1048791,MATCH($Q418,DFD!$B$2:$B$1048791,0)),"")</f>
        <v/>
      </c>
      <c r="X418" s="84" t="str">
        <f t="array" ref="X418">IFERROR(INDEX(DFD!$K$2:$K$1048791,MATCH($Q418,DFD!$B$2:$B$1048791,0)),"")</f>
        <v/>
      </c>
      <c r="Y418" s="84" t="str">
        <f t="array" ref="Y418">IFERROR(INDEX(DFD!$L$2:$L$1048790,MATCH($Q418,DFD!$B$2:$B$1048790,0)),"")</f>
        <v/>
      </c>
      <c r="Z418" s="84">
        <f t="shared" si="13"/>
        <v>45</v>
      </c>
      <c r="AA418" s="59" t="s">
        <v>746</v>
      </c>
      <c r="AB418" s="59" t="s">
        <v>78</v>
      </c>
      <c r="AC418" s="59"/>
      <c r="AD418" s="85">
        <v>46043.0</v>
      </c>
      <c r="AE418" s="86">
        <f t="shared" si="8"/>
        <v>1</v>
      </c>
    </row>
    <row r="419" ht="15.75" customHeight="1">
      <c r="A419" s="92" t="s">
        <v>1466</v>
      </c>
      <c r="B419" s="87" t="s">
        <v>184</v>
      </c>
      <c r="C419" s="88" t="s">
        <v>1467</v>
      </c>
      <c r="D419" s="88" t="s">
        <v>51</v>
      </c>
      <c r="E419" s="116">
        <v>3.0</v>
      </c>
      <c r="F419" s="137">
        <v>240.0</v>
      </c>
      <c r="G419" s="90" t="s">
        <v>53</v>
      </c>
      <c r="H419" s="91">
        <v>46266.0</v>
      </c>
      <c r="I419" s="92" t="s">
        <v>17</v>
      </c>
      <c r="J419" s="92" t="s">
        <v>54</v>
      </c>
      <c r="K419" s="92" t="s">
        <v>372</v>
      </c>
      <c r="L419" s="92" t="s">
        <v>67</v>
      </c>
      <c r="M419" s="90" t="s">
        <v>104</v>
      </c>
      <c r="N419" s="92" t="s">
        <v>20</v>
      </c>
      <c r="O419" s="87" t="s">
        <v>69</v>
      </c>
      <c r="P419" s="87"/>
      <c r="Q419" s="87" t="s">
        <v>113</v>
      </c>
      <c r="R419" s="93" t="s">
        <v>616</v>
      </c>
      <c r="S419" s="87"/>
      <c r="T419" s="87"/>
      <c r="U419" s="94" t="str">
        <f t="array" ref="U419">IFERROR(INDEX(DFD!$D$2:$D$1048791,MATCH($Q419,DFD!$B$2:$B$1048791,0)),"")</f>
        <v/>
      </c>
      <c r="V419" s="94" t="str">
        <f t="array" ref="V419">IFERROR(INDEX(DFD!$F$2:$F$1048791,MATCH($Q419,DFD!$B$2:$B$1048791,0)),"")</f>
        <v/>
      </c>
      <c r="W419" s="97" t="str">
        <f t="array" ref="W419">IFERROR(INDEX(DFD!$E$2:$E$1048791,MATCH($Q419,DFD!$B$2:$B$1048791,0)),"")</f>
        <v/>
      </c>
      <c r="X419" s="97" t="str">
        <f t="array" ref="X419">IFERROR(INDEX(DFD!$K$2:$K$1048791,MATCH($Q419,DFD!$B$2:$B$1048791,0)),"")</f>
        <v/>
      </c>
      <c r="Y419" s="97" t="str">
        <f t="array" ref="Y419">IFERROR(INDEX(DFD!$L$2:$L$1048790,MATCH($Q419,DFD!$B$2:$B$1048790,0)),"")</f>
        <v/>
      </c>
      <c r="Z419" s="97">
        <f t="shared" si="13"/>
        <v>45</v>
      </c>
      <c r="AA419" s="87" t="s">
        <v>746</v>
      </c>
      <c r="AB419" s="87" t="s">
        <v>78</v>
      </c>
      <c r="AC419" s="87"/>
      <c r="AD419" s="99">
        <v>46043.0</v>
      </c>
      <c r="AE419" s="100">
        <f t="shared" si="8"/>
        <v>1</v>
      </c>
    </row>
    <row r="420" ht="15.75" customHeight="1">
      <c r="A420" s="67" t="s">
        <v>1468</v>
      </c>
      <c r="B420" s="59" t="s">
        <v>184</v>
      </c>
      <c r="C420" s="60" t="s">
        <v>1469</v>
      </c>
      <c r="D420" s="60" t="s">
        <v>51</v>
      </c>
      <c r="E420" s="60">
        <v>30.0</v>
      </c>
      <c r="F420" s="72">
        <v>1080.0</v>
      </c>
      <c r="G420" s="73" t="s">
        <v>53</v>
      </c>
      <c r="H420" s="74">
        <v>46174.0</v>
      </c>
      <c r="I420" s="67" t="s">
        <v>17</v>
      </c>
      <c r="J420" s="67" t="s">
        <v>54</v>
      </c>
      <c r="K420" s="67" t="s">
        <v>66</v>
      </c>
      <c r="L420" s="67" t="s">
        <v>67</v>
      </c>
      <c r="M420" s="73" t="s">
        <v>117</v>
      </c>
      <c r="N420" s="67" t="s">
        <v>20</v>
      </c>
      <c r="O420" s="67" t="s">
        <v>89</v>
      </c>
      <c r="P420" s="59"/>
      <c r="Q420" s="59" t="s">
        <v>534</v>
      </c>
      <c r="R420" s="76" t="s">
        <v>373</v>
      </c>
      <c r="S420" s="59"/>
      <c r="T420" s="59"/>
      <c r="U420" s="77" t="str">
        <f t="array" ref="U420">IFERROR(INDEX(DFD!$D$2:$D$1048791,MATCH($Q420,DFD!$B$2:$B$1048791,0)),"")</f>
        <v/>
      </c>
      <c r="V420" s="77" t="str">
        <f t="array" ref="V420">IFERROR(INDEX(DFD!$F$2:$F$1048791,MATCH($Q420,DFD!$B$2:$B$1048791,0)),"")</f>
        <v/>
      </c>
      <c r="W420" s="84" t="str">
        <f t="array" ref="W420">IFERROR(INDEX(DFD!$E$2:$E$1048791,MATCH($Q420,DFD!$B$2:$B$1048791,0)),"")</f>
        <v/>
      </c>
      <c r="X420" s="84" t="str">
        <f t="array" ref="X420">IFERROR(INDEX(DFD!$K$2:$K$1048791,MATCH($Q420,DFD!$B$2:$B$1048791,0)),"")</f>
        <v/>
      </c>
      <c r="Y420" s="84" t="str">
        <f t="array" ref="Y420">IFERROR(INDEX(DFD!$L$2:$L$1048790,MATCH($Q420,DFD!$B$2:$B$1048790,0)),"")</f>
        <v/>
      </c>
      <c r="Z420" s="84">
        <f t="shared" si="13"/>
        <v>45</v>
      </c>
      <c r="AA420" s="59"/>
      <c r="AB420" s="59" t="s">
        <v>78</v>
      </c>
      <c r="AC420" s="59"/>
      <c r="AD420" s="85">
        <v>46043.0</v>
      </c>
      <c r="AE420" s="86">
        <f t="shared" si="8"/>
        <v>1</v>
      </c>
    </row>
    <row r="421" ht="15.75" customHeight="1">
      <c r="A421" s="92" t="s">
        <v>1470</v>
      </c>
      <c r="B421" s="87" t="s">
        <v>184</v>
      </c>
      <c r="C421" s="88" t="s">
        <v>1471</v>
      </c>
      <c r="D421" s="88" t="s">
        <v>51</v>
      </c>
      <c r="E421" s="88">
        <v>30.0</v>
      </c>
      <c r="F421" s="89">
        <v>1140.0</v>
      </c>
      <c r="G421" s="90" t="s">
        <v>53</v>
      </c>
      <c r="H421" s="91">
        <v>46174.0</v>
      </c>
      <c r="I421" s="92" t="s">
        <v>17</v>
      </c>
      <c r="J421" s="92" t="s">
        <v>54</v>
      </c>
      <c r="K421" s="92" t="s">
        <v>66</v>
      </c>
      <c r="L421" s="92" t="s">
        <v>67</v>
      </c>
      <c r="M421" s="90" t="s">
        <v>132</v>
      </c>
      <c r="N421" s="92" t="s">
        <v>20</v>
      </c>
      <c r="O421" s="87" t="s">
        <v>69</v>
      </c>
      <c r="P421" s="87"/>
      <c r="Q421" s="87" t="s">
        <v>534</v>
      </c>
      <c r="R421" s="93" t="s">
        <v>373</v>
      </c>
      <c r="S421" s="87"/>
      <c r="T421" s="87"/>
      <c r="U421" s="94" t="str">
        <f t="array" ref="U421">IFERROR(INDEX(DFD!$D$2:$D$1048791,MATCH($Q421,DFD!$B$2:$B$1048791,0)),"")</f>
        <v/>
      </c>
      <c r="V421" s="94" t="str">
        <f t="array" ref="V421">IFERROR(INDEX(DFD!$F$2:$F$1048791,MATCH($Q421,DFD!$B$2:$B$1048791,0)),"")</f>
        <v/>
      </c>
      <c r="W421" s="97" t="str">
        <f t="array" ref="W421">IFERROR(INDEX(DFD!$E$2:$E$1048791,MATCH($Q421,DFD!$B$2:$B$1048791,0)),"")</f>
        <v/>
      </c>
      <c r="X421" s="97" t="str">
        <f t="array" ref="X421">IFERROR(INDEX(DFD!$K$2:$K$1048791,MATCH($Q421,DFD!$B$2:$B$1048791,0)),"")</f>
        <v/>
      </c>
      <c r="Y421" s="97" t="str">
        <f t="array" ref="Y421">IFERROR(INDEX(DFD!$L$2:$L$1048790,MATCH($Q421,DFD!$B$2:$B$1048790,0)),"")</f>
        <v/>
      </c>
      <c r="Z421" s="97">
        <f t="shared" si="13"/>
        <v>45</v>
      </c>
      <c r="AA421" s="87"/>
      <c r="AB421" s="87" t="s">
        <v>78</v>
      </c>
      <c r="AC421" s="87"/>
      <c r="AD421" s="99">
        <v>46043.0</v>
      </c>
      <c r="AE421" s="100">
        <f t="shared" si="8"/>
        <v>1</v>
      </c>
    </row>
    <row r="422" ht="15.75" customHeight="1">
      <c r="A422" s="67" t="s">
        <v>1472</v>
      </c>
      <c r="B422" s="59" t="s">
        <v>184</v>
      </c>
      <c r="C422" s="60" t="s">
        <v>1473</v>
      </c>
      <c r="D422" s="60" t="s">
        <v>51</v>
      </c>
      <c r="E422" s="60">
        <v>10.0</v>
      </c>
      <c r="F422" s="72">
        <v>400.0</v>
      </c>
      <c r="G422" s="73" t="s">
        <v>53</v>
      </c>
      <c r="H422" s="74">
        <v>46174.0</v>
      </c>
      <c r="I422" s="67" t="s">
        <v>17</v>
      </c>
      <c r="J422" s="67" t="s">
        <v>54</v>
      </c>
      <c r="K422" s="67" t="s">
        <v>66</v>
      </c>
      <c r="L422" s="67" t="s">
        <v>67</v>
      </c>
      <c r="M422" s="73" t="s">
        <v>132</v>
      </c>
      <c r="N422" s="67" t="s">
        <v>20</v>
      </c>
      <c r="O422" s="59" t="s">
        <v>69</v>
      </c>
      <c r="P422" s="59"/>
      <c r="Q422" s="59" t="s">
        <v>534</v>
      </c>
      <c r="R422" s="76" t="s">
        <v>373</v>
      </c>
      <c r="S422" s="59"/>
      <c r="T422" s="59"/>
      <c r="U422" s="77" t="str">
        <f t="array" ref="U422">IFERROR(INDEX(DFD!$D$2:$D$1048791,MATCH($Q422,DFD!$B$2:$B$1048791,0)),"")</f>
        <v/>
      </c>
      <c r="V422" s="77" t="str">
        <f t="array" ref="V422">IFERROR(INDEX(DFD!$F$2:$F$1048791,MATCH($Q422,DFD!$B$2:$B$1048791,0)),"")</f>
        <v/>
      </c>
      <c r="W422" s="84" t="str">
        <f t="array" ref="W422">IFERROR(INDEX(DFD!$E$2:$E$1048791,MATCH($Q422,DFD!$B$2:$B$1048791,0)),"")</f>
        <v/>
      </c>
      <c r="X422" s="84" t="str">
        <f t="array" ref="X422">IFERROR(INDEX(DFD!$K$2:$K$1048791,MATCH($Q422,DFD!$B$2:$B$1048791,0)),"")</f>
        <v/>
      </c>
      <c r="Y422" s="84" t="str">
        <f t="array" ref="Y422">IFERROR(INDEX(DFD!$L$2:$L$1048790,MATCH($Q422,DFD!$B$2:$B$1048790,0)),"")</f>
        <v/>
      </c>
      <c r="Z422" s="84">
        <f t="shared" si="13"/>
        <v>45</v>
      </c>
      <c r="AA422" s="59"/>
      <c r="AB422" s="59" t="s">
        <v>78</v>
      </c>
      <c r="AC422" s="59"/>
      <c r="AD422" s="85">
        <v>46043.0</v>
      </c>
      <c r="AE422" s="86">
        <f t="shared" si="8"/>
        <v>1</v>
      </c>
    </row>
    <row r="423" ht="15.75" customHeight="1">
      <c r="A423" s="87" t="s">
        <v>1474</v>
      </c>
      <c r="B423" s="87" t="s">
        <v>98</v>
      </c>
      <c r="C423" s="88" t="s">
        <v>1475</v>
      </c>
      <c r="D423" s="88" t="s">
        <v>51</v>
      </c>
      <c r="E423" s="88">
        <v>4.0</v>
      </c>
      <c r="F423" s="89">
        <v>1200.0</v>
      </c>
      <c r="G423" s="90" t="s">
        <v>53</v>
      </c>
      <c r="H423" s="91">
        <v>46174.0</v>
      </c>
      <c r="I423" s="92" t="s">
        <v>17</v>
      </c>
      <c r="J423" s="92" t="s">
        <v>54</v>
      </c>
      <c r="K423" s="92" t="s">
        <v>66</v>
      </c>
      <c r="L423" s="92" t="s">
        <v>67</v>
      </c>
      <c r="M423" s="90" t="s">
        <v>117</v>
      </c>
      <c r="N423" s="92" t="s">
        <v>5</v>
      </c>
      <c r="O423" s="92" t="s">
        <v>89</v>
      </c>
      <c r="P423" s="87"/>
      <c r="Q423" s="87" t="s">
        <v>1356</v>
      </c>
      <c r="R423" s="93" t="s">
        <v>402</v>
      </c>
      <c r="S423" s="87"/>
      <c r="T423" s="87"/>
      <c r="U423" s="94" t="str">
        <f t="array" ref="U423">IFERROR(INDEX(DFD!$D$2:$D$1048791,MATCH($Q423,DFD!$B$2:$B$1048791,0)),"")</f>
        <v/>
      </c>
      <c r="V423" s="94" t="s">
        <v>280</v>
      </c>
      <c r="W423" s="97" t="str">
        <f t="array" ref="W423">IFERROR(INDEX(DFD!$E$2:$E$1048791,MATCH($Q423,DFD!$B$2:$B$1048791,0)),"")</f>
        <v/>
      </c>
      <c r="X423" s="97" t="str">
        <f t="array" ref="X423">IFERROR(INDEX(DFD!$K$2:$K$1048791,MATCH($Q423,DFD!$B$2:$B$1048791,0)),"")</f>
        <v/>
      </c>
      <c r="Y423" s="97" t="str">
        <f t="array" ref="Y423">IFERROR(INDEX(DFD!$L$2:$L$1048790,MATCH($Q423,DFD!$B$2:$B$1048790,0)),"")</f>
        <v/>
      </c>
      <c r="Z423" s="97">
        <f t="shared" si="13"/>
        <v>45</v>
      </c>
      <c r="AA423" s="87"/>
      <c r="AB423" s="87" t="s">
        <v>78</v>
      </c>
      <c r="AC423" s="87"/>
      <c r="AD423" s="99">
        <v>46043.0</v>
      </c>
      <c r="AE423" s="100">
        <f t="shared" si="8"/>
        <v>1</v>
      </c>
    </row>
    <row r="424" ht="15.75" customHeight="1">
      <c r="A424" s="67" t="s">
        <v>1476</v>
      </c>
      <c r="B424" s="59" t="s">
        <v>184</v>
      </c>
      <c r="C424" s="60" t="s">
        <v>1477</v>
      </c>
      <c r="D424" s="60" t="s">
        <v>51</v>
      </c>
      <c r="E424" s="60">
        <v>11.0</v>
      </c>
      <c r="F424" s="72">
        <v>1134.0</v>
      </c>
      <c r="G424" s="73" t="s">
        <v>53</v>
      </c>
      <c r="H424" s="74">
        <v>46174.0</v>
      </c>
      <c r="I424" s="67" t="s">
        <v>17</v>
      </c>
      <c r="J424" s="67" t="s">
        <v>54</v>
      </c>
      <c r="K424" s="67" t="s">
        <v>66</v>
      </c>
      <c r="L424" s="67" t="s">
        <v>67</v>
      </c>
      <c r="M424" s="73" t="s">
        <v>112</v>
      </c>
      <c r="N424" s="67" t="s">
        <v>20</v>
      </c>
      <c r="O424" s="59" t="s">
        <v>69</v>
      </c>
      <c r="P424" s="59"/>
      <c r="Q424" s="59" t="s">
        <v>113</v>
      </c>
      <c r="R424" s="76" t="s">
        <v>503</v>
      </c>
      <c r="S424" s="59"/>
      <c r="T424" s="59"/>
      <c r="U424" s="77" t="str">
        <f t="array" ref="U424">IFERROR(INDEX(DFD!$D$2:$D$1048791,MATCH($Q424,DFD!$B$2:$B$1048791,0)),"")</f>
        <v/>
      </c>
      <c r="V424" s="77" t="str">
        <f t="array" ref="V424">IFERROR(INDEX(DFD!$F$2:$F$1048791,MATCH($Q424,DFD!$B$2:$B$1048791,0)),"")</f>
        <v/>
      </c>
      <c r="W424" s="84" t="str">
        <f t="array" ref="W424">IFERROR(INDEX(DFD!$E$2:$E$1048791,MATCH($Q424,DFD!$B$2:$B$1048791,0)),"")</f>
        <v/>
      </c>
      <c r="X424" s="84" t="str">
        <f t="array" ref="X424">IFERROR(INDEX(DFD!$K$2:$K$1048791,MATCH($Q424,DFD!$B$2:$B$1048791,0)),"")</f>
        <v/>
      </c>
      <c r="Y424" s="84" t="str">
        <f t="array" ref="Y424">IFERROR(INDEX(DFD!$L$2:$L$1048790,MATCH($Q424,DFD!$B$2:$B$1048790,0)),"")</f>
        <v/>
      </c>
      <c r="Z424" s="84">
        <f t="shared" si="13"/>
        <v>45</v>
      </c>
      <c r="AA424" s="59" t="s">
        <v>746</v>
      </c>
      <c r="AB424" s="59" t="s">
        <v>78</v>
      </c>
      <c r="AC424" s="59"/>
      <c r="AD424" s="85">
        <v>46043.0</v>
      </c>
      <c r="AE424" s="86">
        <f t="shared" si="8"/>
        <v>1</v>
      </c>
    </row>
    <row r="425" ht="15.75" customHeight="1">
      <c r="A425" s="92" t="s">
        <v>1478</v>
      </c>
      <c r="B425" s="87" t="s">
        <v>171</v>
      </c>
      <c r="C425" s="88" t="s">
        <v>1479</v>
      </c>
      <c r="D425" s="88" t="s">
        <v>51</v>
      </c>
      <c r="E425" s="88">
        <v>5.0</v>
      </c>
      <c r="F425" s="89">
        <v>2500.0</v>
      </c>
      <c r="G425" s="90" t="s">
        <v>53</v>
      </c>
      <c r="H425" s="91">
        <v>46174.0</v>
      </c>
      <c r="I425" s="92" t="s">
        <v>17</v>
      </c>
      <c r="J425" s="92" t="s">
        <v>54</v>
      </c>
      <c r="K425" s="92" t="s">
        <v>66</v>
      </c>
      <c r="L425" s="92" t="s">
        <v>67</v>
      </c>
      <c r="M425" s="90" t="s">
        <v>167</v>
      </c>
      <c r="N425" s="92" t="s">
        <v>20</v>
      </c>
      <c r="O425" s="87" t="s">
        <v>69</v>
      </c>
      <c r="P425" s="87"/>
      <c r="Q425" s="87" t="s">
        <v>1036</v>
      </c>
      <c r="R425" s="93" t="s">
        <v>1480</v>
      </c>
      <c r="S425" s="87"/>
      <c r="T425" s="87"/>
      <c r="U425" s="94" t="str">
        <f t="array" ref="U425">IFERROR(INDEX(DFD!$D$2:$D$1048791,MATCH($Q425,DFD!$B$2:$B$1048791,0)),"")</f>
        <v/>
      </c>
      <c r="V425" s="94" t="str">
        <f t="array" ref="V425">IFERROR(INDEX(DFD!$F$2:$F$1048791,MATCH($Q425,DFD!$B$2:$B$1048791,0)),"")</f>
        <v/>
      </c>
      <c r="W425" s="97" t="str">
        <f t="array" ref="W425">IFERROR(INDEX(DFD!$E$2:$E$1048791,MATCH($Q425,DFD!$B$2:$B$1048791,0)),"")</f>
        <v/>
      </c>
      <c r="X425" s="97" t="str">
        <f t="array" ref="X425">IFERROR(INDEX(DFD!$K$2:$K$1048791,MATCH($Q425,DFD!$B$2:$B$1048791,0)),"")</f>
        <v/>
      </c>
      <c r="Y425" s="97" t="str">
        <f t="array" ref="Y425">IFERROR(INDEX(DFD!$L$2:$L$1048790,MATCH($Q425,DFD!$B$2:$B$1048790,0)),"")</f>
        <v/>
      </c>
      <c r="Z425" s="97">
        <f t="shared" si="13"/>
        <v>45</v>
      </c>
      <c r="AA425" s="87"/>
      <c r="AB425" s="87" t="s">
        <v>78</v>
      </c>
      <c r="AC425" s="87"/>
      <c r="AD425" s="99">
        <v>46043.0</v>
      </c>
      <c r="AE425" s="100">
        <f t="shared" si="8"/>
        <v>1</v>
      </c>
    </row>
    <row r="426" ht="15.75" customHeight="1">
      <c r="A426" s="67" t="s">
        <v>1481</v>
      </c>
      <c r="B426" s="59" t="s">
        <v>95</v>
      </c>
      <c r="C426" s="60" t="s">
        <v>1479</v>
      </c>
      <c r="D426" s="60" t="s">
        <v>51</v>
      </c>
      <c r="E426" s="60">
        <v>4.0</v>
      </c>
      <c r="F426" s="72">
        <v>2000.0</v>
      </c>
      <c r="G426" s="73" t="s">
        <v>53</v>
      </c>
      <c r="H426" s="74">
        <v>46174.0</v>
      </c>
      <c r="I426" s="67" t="s">
        <v>17</v>
      </c>
      <c r="J426" s="67" t="s">
        <v>54</v>
      </c>
      <c r="K426" s="67" t="s">
        <v>66</v>
      </c>
      <c r="L426" s="67" t="s">
        <v>67</v>
      </c>
      <c r="M426" s="73" t="s">
        <v>112</v>
      </c>
      <c r="N426" s="67" t="s">
        <v>20</v>
      </c>
      <c r="O426" s="67" t="s">
        <v>89</v>
      </c>
      <c r="P426" s="59"/>
      <c r="Q426" s="59" t="s">
        <v>1036</v>
      </c>
      <c r="R426" s="76" t="s">
        <v>1480</v>
      </c>
      <c r="S426" s="59"/>
      <c r="T426" s="59"/>
      <c r="U426" s="77" t="str">
        <f t="array" ref="U426">IFERROR(INDEX(DFD!$D$2:$D$1048791,MATCH($Q426,DFD!$B$2:$B$1048791,0)),"")</f>
        <v/>
      </c>
      <c r="V426" s="77" t="str">
        <f t="array" ref="V426">IFERROR(INDEX(DFD!$F$2:$F$1048791,MATCH($Q426,DFD!$B$2:$B$1048791,0)),"")</f>
        <v/>
      </c>
      <c r="W426" s="84" t="str">
        <f t="array" ref="W426">IFERROR(INDEX(DFD!$E$2:$E$1048791,MATCH($Q426,DFD!$B$2:$B$1048791,0)),"")</f>
        <v/>
      </c>
      <c r="X426" s="84" t="str">
        <f t="array" ref="X426">IFERROR(INDEX(DFD!$K$2:$K$1048791,MATCH($Q426,DFD!$B$2:$B$1048791,0)),"")</f>
        <v/>
      </c>
      <c r="Y426" s="84" t="str">
        <f t="array" ref="Y426">IFERROR(INDEX(DFD!$L$2:$L$1048790,MATCH($Q426,DFD!$B$2:$B$1048790,0)),"")</f>
        <v/>
      </c>
      <c r="Z426" s="84">
        <f t="shared" si="13"/>
        <v>45</v>
      </c>
      <c r="AA426" s="59"/>
      <c r="AB426" s="59" t="s">
        <v>78</v>
      </c>
      <c r="AC426" s="59"/>
      <c r="AD426" s="85">
        <v>46043.0</v>
      </c>
      <c r="AE426" s="86">
        <f t="shared" si="8"/>
        <v>1</v>
      </c>
    </row>
    <row r="427" ht="15.75" customHeight="1">
      <c r="A427" s="87" t="s">
        <v>1482</v>
      </c>
      <c r="B427" s="87" t="s">
        <v>464</v>
      </c>
      <c r="C427" s="116" t="s">
        <v>1483</v>
      </c>
      <c r="D427" s="88" t="s">
        <v>51</v>
      </c>
      <c r="E427" s="88">
        <v>1.0</v>
      </c>
      <c r="F427" s="89">
        <v>80000.0</v>
      </c>
      <c r="G427" s="90" t="s">
        <v>437</v>
      </c>
      <c r="H427" s="91">
        <v>46266.0</v>
      </c>
      <c r="I427" s="92" t="s">
        <v>17</v>
      </c>
      <c r="J427" s="92" t="s">
        <v>1484</v>
      </c>
      <c r="K427" s="92" t="s">
        <v>55</v>
      </c>
      <c r="L427" s="92" t="s">
        <v>67</v>
      </c>
      <c r="M427" s="90" t="s">
        <v>1485</v>
      </c>
      <c r="N427" s="92" t="s">
        <v>5</v>
      </c>
      <c r="O427" s="87" t="s">
        <v>69</v>
      </c>
      <c r="P427" s="87"/>
      <c r="Q427" s="87" t="s">
        <v>467</v>
      </c>
      <c r="R427" s="93" t="s">
        <v>1486</v>
      </c>
      <c r="S427" s="87"/>
      <c r="T427" s="87"/>
      <c r="U427" s="94" t="str">
        <f t="array" ref="U427">IFERROR(INDEX(DFD!$D$2:$D$1048791,MATCH($Q427,DFD!$B$2:$B$1048791,0)),"")</f>
        <v/>
      </c>
      <c r="V427" s="94" t="str">
        <f t="array" ref="V427">IFERROR(INDEX(DFD!$F$2:$F$1048791,MATCH($Q427,DFD!$B$2:$B$1048791,0)),"")</f>
        <v/>
      </c>
      <c r="W427" s="97" t="str">
        <f t="array" ref="W427">IFERROR(INDEX(DFD!$E$2:$E$1048791,MATCH($Q427,DFD!$B$2:$B$1048791,0)),"")</f>
        <v/>
      </c>
      <c r="X427" s="97" t="str">
        <f t="array" ref="X427">IFERROR(INDEX(DFD!$K$2:$K$1048791,MATCH($Q427,DFD!$B$2:$B$1048791,0)),"")</f>
        <v/>
      </c>
      <c r="Y427" s="97" t="str">
        <f t="array" ref="Y427">IFERROR(INDEX(DFD!$L$2:$L$1048790,MATCH($Q427,DFD!$B$2:$B$1048790,0)),"")</f>
        <v/>
      </c>
      <c r="Z427" s="97">
        <f t="shared" si="13"/>
        <v>45</v>
      </c>
      <c r="AA427" s="87"/>
      <c r="AB427" s="87" t="s">
        <v>288</v>
      </c>
      <c r="AC427" s="87"/>
      <c r="AD427" s="99">
        <v>46043.0</v>
      </c>
      <c r="AE427" s="100">
        <f t="shared" si="8"/>
        <v>1</v>
      </c>
    </row>
    <row r="428" ht="15.75" customHeight="1">
      <c r="A428" s="67" t="s">
        <v>1487</v>
      </c>
      <c r="B428" s="59" t="s">
        <v>184</v>
      </c>
      <c r="C428" s="60" t="s">
        <v>1488</v>
      </c>
      <c r="D428" s="60" t="s">
        <v>1105</v>
      </c>
      <c r="E428" s="60">
        <v>10.0</v>
      </c>
      <c r="F428" s="72">
        <v>43.0</v>
      </c>
      <c r="G428" s="73" t="s">
        <v>53</v>
      </c>
      <c r="H428" s="74">
        <v>46143.0</v>
      </c>
      <c r="I428" s="67" t="s">
        <v>17</v>
      </c>
      <c r="J428" s="67" t="s">
        <v>54</v>
      </c>
      <c r="K428" s="67" t="s">
        <v>66</v>
      </c>
      <c r="L428" s="67" t="s">
        <v>67</v>
      </c>
      <c r="M428" s="73" t="s">
        <v>112</v>
      </c>
      <c r="N428" s="67" t="s">
        <v>20</v>
      </c>
      <c r="O428" s="59" t="s">
        <v>69</v>
      </c>
      <c r="P428" s="59"/>
      <c r="Q428" s="59" t="s">
        <v>286</v>
      </c>
      <c r="R428" s="76" t="s">
        <v>287</v>
      </c>
      <c r="S428" s="59"/>
      <c r="T428" s="59"/>
      <c r="U428" s="77" t="str">
        <f t="array" ref="U428">IFERROR(INDEX(DFD!$D$2:$D$1048791,MATCH($Q428,DFD!$B$2:$B$1048791,0)),"")</f>
        <v/>
      </c>
      <c r="V428" s="77" t="str">
        <f t="array" ref="V428">IFERROR(INDEX(DFD!$F$2:$F$1048791,MATCH($Q428,DFD!$B$2:$B$1048791,0)),"")</f>
        <v/>
      </c>
      <c r="W428" s="84" t="str">
        <f t="array" ref="W428">IFERROR(INDEX(DFD!$E$2:$E$1048791,MATCH($Q428,DFD!$B$2:$B$1048791,0)),"")</f>
        <v/>
      </c>
      <c r="X428" s="84" t="str">
        <f t="array" ref="X428">IFERROR(INDEX(DFD!$K$2:$K$1048791,MATCH($Q428,DFD!$B$2:$B$1048791,0)),"")</f>
        <v/>
      </c>
      <c r="Y428" s="84" t="str">
        <f t="array" ref="Y428">IFERROR(INDEX(DFD!$L$2:$L$1048790,MATCH($Q428,DFD!$B$2:$B$1048790,0)),"")</f>
        <v/>
      </c>
      <c r="Z428" s="84">
        <f t="shared" si="13"/>
        <v>45</v>
      </c>
      <c r="AA428" s="59"/>
      <c r="AB428" s="59" t="s">
        <v>288</v>
      </c>
      <c r="AC428" s="59"/>
      <c r="AD428" s="85">
        <v>46043.0</v>
      </c>
      <c r="AE428" s="86">
        <f t="shared" si="8"/>
        <v>1</v>
      </c>
    </row>
    <row r="429" ht="15.75" customHeight="1">
      <c r="A429" s="87" t="s">
        <v>1489</v>
      </c>
      <c r="B429" s="87" t="s">
        <v>148</v>
      </c>
      <c r="C429" s="88" t="s">
        <v>1490</v>
      </c>
      <c r="D429" s="88" t="s">
        <v>51</v>
      </c>
      <c r="E429" s="88">
        <v>40.0</v>
      </c>
      <c r="F429" s="89">
        <v>400.0</v>
      </c>
      <c r="G429" s="90" t="s">
        <v>53</v>
      </c>
      <c r="H429" s="91">
        <v>46174.0</v>
      </c>
      <c r="I429" s="92" t="s">
        <v>17</v>
      </c>
      <c r="J429" s="92" t="s">
        <v>54</v>
      </c>
      <c r="K429" s="92" t="s">
        <v>66</v>
      </c>
      <c r="L429" s="92" t="s">
        <v>67</v>
      </c>
      <c r="M429" s="90" t="s">
        <v>104</v>
      </c>
      <c r="N429" s="92" t="s">
        <v>5</v>
      </c>
      <c r="O429" s="92" t="s">
        <v>89</v>
      </c>
      <c r="P429" s="87"/>
      <c r="Q429" s="87" t="s">
        <v>331</v>
      </c>
      <c r="R429" s="93" t="s">
        <v>269</v>
      </c>
      <c r="S429" s="87"/>
      <c r="T429" s="87"/>
      <c r="U429" s="94" t="str">
        <f t="array" ref="U429">IFERROR(INDEX(DFD!$D$2:$D$1048791,MATCH($Q429,DFD!$B$2:$B$1048791,0)),"")</f>
        <v/>
      </c>
      <c r="V429" s="94" t="str">
        <f t="array" ref="V429">IFERROR(INDEX(DFD!$F$2:$F$1048791,MATCH($Q429,DFD!$B$2:$B$1048791,0)),"")</f>
        <v/>
      </c>
      <c r="W429" s="97" t="str">
        <f t="array" ref="W429">IFERROR(INDEX(DFD!$E$2:$E$1048791,MATCH($Q429,DFD!$B$2:$B$1048791,0)),"")</f>
        <v/>
      </c>
      <c r="X429" s="97" t="str">
        <f t="array" ref="X429">IFERROR(INDEX(DFD!$K$2:$K$1048791,MATCH($Q429,DFD!$B$2:$B$1048791,0)),"")</f>
        <v/>
      </c>
      <c r="Y429" s="97" t="str">
        <f t="array" ref="Y429">IFERROR(INDEX(DFD!$L$2:$L$1048790,MATCH($Q429,DFD!$B$2:$B$1048790,0)),"")</f>
        <v/>
      </c>
      <c r="Z429" s="97">
        <f t="shared" si="13"/>
        <v>45</v>
      </c>
      <c r="AA429" s="87"/>
      <c r="AB429" s="87" t="s">
        <v>78</v>
      </c>
      <c r="AC429" s="87"/>
      <c r="AD429" s="99">
        <v>46043.0</v>
      </c>
      <c r="AE429" s="100">
        <f t="shared" si="8"/>
        <v>1</v>
      </c>
    </row>
    <row r="430" ht="15.75" customHeight="1">
      <c r="A430" s="67" t="s">
        <v>1491</v>
      </c>
      <c r="B430" s="59" t="s">
        <v>184</v>
      </c>
      <c r="C430" s="60" t="s">
        <v>1492</v>
      </c>
      <c r="D430" s="60" t="s">
        <v>51</v>
      </c>
      <c r="E430" s="60">
        <v>20.0</v>
      </c>
      <c r="F430" s="72">
        <v>64000.0</v>
      </c>
      <c r="G430" s="73" t="s">
        <v>53</v>
      </c>
      <c r="H430" s="74">
        <v>46266.0</v>
      </c>
      <c r="I430" s="67" t="s">
        <v>17</v>
      </c>
      <c r="J430" s="67" t="s">
        <v>54</v>
      </c>
      <c r="K430" s="67" t="s">
        <v>66</v>
      </c>
      <c r="L430" s="67" t="s">
        <v>67</v>
      </c>
      <c r="M430" s="73" t="s">
        <v>104</v>
      </c>
      <c r="N430" s="67" t="s">
        <v>20</v>
      </c>
      <c r="O430" s="59" t="s">
        <v>69</v>
      </c>
      <c r="P430" s="59"/>
      <c r="Q430" s="59" t="s">
        <v>1493</v>
      </c>
      <c r="R430" s="76" t="s">
        <v>269</v>
      </c>
      <c r="S430" s="59"/>
      <c r="T430" s="59"/>
      <c r="U430" s="77" t="str">
        <f t="array" ref="U430">IFERROR(INDEX(DFD!$D$2:$D$1048791,MATCH($Q430,DFD!$B$2:$B$1048791,0)),"")</f>
        <v/>
      </c>
      <c r="V430" s="77" t="str">
        <f t="array" ref="V430">IFERROR(INDEX(DFD!$F$2:$F$1048791,MATCH($Q430,DFD!$B$2:$B$1048791,0)),"")</f>
        <v/>
      </c>
      <c r="W430" s="84" t="str">
        <f t="array" ref="W430">IFERROR(INDEX(DFD!$E$2:$E$1048791,MATCH($Q430,DFD!$B$2:$B$1048791,0)),"")</f>
        <v/>
      </c>
      <c r="X430" s="84" t="str">
        <f t="array" ref="X430">IFERROR(INDEX(DFD!$K$2:$K$1048791,MATCH($Q430,DFD!$B$2:$B$1048791,0)),"")</f>
        <v/>
      </c>
      <c r="Y430" s="84" t="str">
        <f t="array" ref="Y430">IFERROR(INDEX(DFD!$L$2:$L$1048790,MATCH($Q430,DFD!$B$2:$B$1048790,0)),"")</f>
        <v/>
      </c>
      <c r="Z430" s="84">
        <f t="shared" si="13"/>
        <v>45</v>
      </c>
      <c r="AA430" s="59"/>
      <c r="AB430" s="59" t="s">
        <v>78</v>
      </c>
      <c r="AC430" s="59"/>
      <c r="AD430" s="85">
        <v>46043.0</v>
      </c>
      <c r="AE430" s="86">
        <f t="shared" si="8"/>
        <v>1</v>
      </c>
    </row>
    <row r="431" ht="15.75" customHeight="1">
      <c r="A431" s="92" t="s">
        <v>1494</v>
      </c>
      <c r="B431" s="87" t="s">
        <v>184</v>
      </c>
      <c r="C431" s="88" t="s">
        <v>1495</v>
      </c>
      <c r="D431" s="88" t="s">
        <v>51</v>
      </c>
      <c r="E431" s="88">
        <v>20.0</v>
      </c>
      <c r="F431" s="89">
        <v>44220.0</v>
      </c>
      <c r="G431" s="90" t="s">
        <v>53</v>
      </c>
      <c r="H431" s="91">
        <v>46266.0</v>
      </c>
      <c r="I431" s="92" t="s">
        <v>17</v>
      </c>
      <c r="J431" s="92" t="s">
        <v>54</v>
      </c>
      <c r="K431" s="92" t="s">
        <v>66</v>
      </c>
      <c r="L431" s="92" t="s">
        <v>67</v>
      </c>
      <c r="M431" s="90" t="s">
        <v>104</v>
      </c>
      <c r="N431" s="92" t="s">
        <v>20</v>
      </c>
      <c r="O431" s="87" t="s">
        <v>69</v>
      </c>
      <c r="P431" s="87"/>
      <c r="Q431" s="87" t="s">
        <v>1493</v>
      </c>
      <c r="R431" s="93" t="s">
        <v>269</v>
      </c>
      <c r="S431" s="87"/>
      <c r="T431" s="87"/>
      <c r="U431" s="94" t="str">
        <f t="array" ref="U431">IFERROR(INDEX(DFD!$D$2:$D$1048791,MATCH($Q431,DFD!$B$2:$B$1048791,0)),"")</f>
        <v/>
      </c>
      <c r="V431" s="94" t="str">
        <f t="array" ref="V431">IFERROR(INDEX(DFD!$F$2:$F$1048791,MATCH($Q431,DFD!$B$2:$B$1048791,0)),"")</f>
        <v/>
      </c>
      <c r="W431" s="97" t="str">
        <f t="array" ref="W431">IFERROR(INDEX(DFD!$E$2:$E$1048791,MATCH($Q431,DFD!$B$2:$B$1048791,0)),"")</f>
        <v/>
      </c>
      <c r="X431" s="97" t="str">
        <f t="array" ref="X431">IFERROR(INDEX(DFD!$K$2:$K$1048791,MATCH($Q431,DFD!$B$2:$B$1048791,0)),"")</f>
        <v/>
      </c>
      <c r="Y431" s="97" t="str">
        <f t="array" ref="Y431">IFERROR(INDEX(DFD!$L$2:$L$1048790,MATCH($Q431,DFD!$B$2:$B$1048790,0)),"")</f>
        <v/>
      </c>
      <c r="Z431" s="97">
        <f t="shared" si="13"/>
        <v>45</v>
      </c>
      <c r="AA431" s="87"/>
      <c r="AB431" s="87" t="s">
        <v>78</v>
      </c>
      <c r="AC431" s="87"/>
      <c r="AD431" s="99">
        <v>46043.0</v>
      </c>
      <c r="AE431" s="100">
        <f t="shared" si="8"/>
        <v>1</v>
      </c>
    </row>
    <row r="432" ht="15.75" customHeight="1">
      <c r="A432" s="67" t="s">
        <v>1496</v>
      </c>
      <c r="B432" s="59" t="s">
        <v>49</v>
      </c>
      <c r="C432" s="60" t="s">
        <v>1497</v>
      </c>
      <c r="D432" s="60" t="s">
        <v>51</v>
      </c>
      <c r="E432" s="60">
        <v>1.0</v>
      </c>
      <c r="F432" s="72">
        <v>15000.0</v>
      </c>
      <c r="G432" s="73" t="s">
        <v>53</v>
      </c>
      <c r="H432" s="74">
        <v>46031.0</v>
      </c>
      <c r="I432" s="67" t="s">
        <v>18</v>
      </c>
      <c r="J432" s="67" t="s">
        <v>54</v>
      </c>
      <c r="K432" s="67" t="s">
        <v>83</v>
      </c>
      <c r="L432" s="67" t="s">
        <v>67</v>
      </c>
      <c r="M432" s="73" t="s">
        <v>117</v>
      </c>
      <c r="N432" s="67" t="s">
        <v>20</v>
      </c>
      <c r="O432" s="67" t="s">
        <v>89</v>
      </c>
      <c r="P432" s="59"/>
      <c r="Q432" s="59" t="s">
        <v>1498</v>
      </c>
      <c r="R432" s="76" t="s">
        <v>947</v>
      </c>
      <c r="S432" s="59"/>
      <c r="T432" s="59"/>
      <c r="U432" s="77" t="str">
        <f t="array" ref="U432">IFERROR(INDEX(DFD!$D$2:$D$1048791,MATCH($Q432,DFD!$B$2:$B$1048791,0)),"")</f>
        <v/>
      </c>
      <c r="V432" s="77" t="s">
        <v>62</v>
      </c>
      <c r="W432" s="84" t="str">
        <f t="array" ref="W432">IFERROR(INDEX(DFD!$E$2:$E$1048791,MATCH($Q432,DFD!$B$2:$B$1048791,0)),"")</f>
        <v/>
      </c>
      <c r="X432" s="84" t="str">
        <f t="array" ref="X432">IFERROR(INDEX(DFD!$K$2:$K$1048791,MATCH($Q432,DFD!$B$2:$B$1048791,0)),"")</f>
        <v/>
      </c>
      <c r="Y432" s="84" t="str">
        <f t="array" ref="Y432">IFERROR(INDEX(DFD!$L$2:$L$1048790,MATCH($Q432,DFD!$B$2:$B$1048790,0)),"")</f>
        <v/>
      </c>
      <c r="Z432" s="84">
        <f t="shared" si="13"/>
        <v>45</v>
      </c>
      <c r="AA432" s="59"/>
      <c r="AB432" s="59" t="s">
        <v>78</v>
      </c>
      <c r="AC432" s="59"/>
      <c r="AD432" s="85">
        <v>46043.0</v>
      </c>
      <c r="AE432" s="86">
        <f t="shared" si="8"/>
        <v>1</v>
      </c>
    </row>
    <row r="433" ht="15.75" customHeight="1">
      <c r="A433" s="87" t="s">
        <v>1499</v>
      </c>
      <c r="B433" s="92" t="s">
        <v>49</v>
      </c>
      <c r="C433" s="88" t="s">
        <v>1500</v>
      </c>
      <c r="D433" s="116" t="s">
        <v>51</v>
      </c>
      <c r="E433" s="116">
        <v>2.0</v>
      </c>
      <c r="F433" s="137">
        <v>110000.0</v>
      </c>
      <c r="G433" s="90" t="s">
        <v>53</v>
      </c>
      <c r="H433" s="118">
        <v>46266.0</v>
      </c>
      <c r="I433" s="92" t="s">
        <v>18</v>
      </c>
      <c r="J433" s="92" t="s">
        <v>54</v>
      </c>
      <c r="K433" s="92" t="s">
        <v>83</v>
      </c>
      <c r="L433" s="92" t="s">
        <v>56</v>
      </c>
      <c r="M433" s="90" t="s">
        <v>112</v>
      </c>
      <c r="N433" s="92" t="s">
        <v>58</v>
      </c>
      <c r="O433" s="87" t="s">
        <v>69</v>
      </c>
      <c r="P433" s="87"/>
      <c r="Q433" s="87" t="s">
        <v>1501</v>
      </c>
      <c r="R433" s="93" t="s">
        <v>364</v>
      </c>
      <c r="S433" s="87"/>
      <c r="T433" s="87"/>
      <c r="U433" s="122" t="str">
        <f t="array" ref="U433">IFERROR(INDEX(DFD!$D$2:$D$1048791,MATCH($Q433,DFD!$B$2:$B$1048791,0)),"")</f>
        <v/>
      </c>
      <c r="V433" s="94" t="s">
        <v>62</v>
      </c>
      <c r="W433" s="97" t="str">
        <f t="array" ref="W433">IFERROR(INDEX(DFD!$E$2:$E$1048791,MATCH($Q433,DFD!$B$2:$B$1048791,0)),"")</f>
        <v/>
      </c>
      <c r="X433" s="97" t="str">
        <f t="array" ref="X433">IFERROR(INDEX(DFD!$K$2:$K$1048791,MATCH($Q433,DFD!$B$2:$B$1048791,0)),"")</f>
        <v/>
      </c>
      <c r="Y433" s="97" t="str">
        <f t="array" ref="Y433">IFERROR(INDEX(DFD!$L$2:$L$1048790,MATCH($Q433,DFD!$B$2:$B$1048790,0)),"")</f>
        <v/>
      </c>
      <c r="Z433" s="97">
        <f t="shared" si="13"/>
        <v>45</v>
      </c>
      <c r="AA433" s="87"/>
      <c r="AB433" s="87" t="s">
        <v>78</v>
      </c>
      <c r="AC433" s="87"/>
      <c r="AD433" s="99">
        <v>46043.0</v>
      </c>
      <c r="AE433" s="100">
        <f t="shared" si="8"/>
        <v>1</v>
      </c>
    </row>
    <row r="434" ht="15.75" customHeight="1">
      <c r="A434" s="67" t="s">
        <v>1502</v>
      </c>
      <c r="B434" s="59" t="s">
        <v>1503</v>
      </c>
      <c r="C434" s="60" t="s">
        <v>1504</v>
      </c>
      <c r="D434" s="60" t="s">
        <v>51</v>
      </c>
      <c r="E434" s="60">
        <v>5.0</v>
      </c>
      <c r="F434" s="72">
        <v>1750.0</v>
      </c>
      <c r="G434" s="73" t="s">
        <v>53</v>
      </c>
      <c r="H434" s="74">
        <v>46031.0</v>
      </c>
      <c r="I434" s="67" t="s">
        <v>17</v>
      </c>
      <c r="J434" s="67" t="s">
        <v>54</v>
      </c>
      <c r="K434" s="67" t="s">
        <v>372</v>
      </c>
      <c r="L434" s="67" t="s">
        <v>67</v>
      </c>
      <c r="M434" s="73" t="s">
        <v>117</v>
      </c>
      <c r="N434" s="67" t="s">
        <v>20</v>
      </c>
      <c r="O434" s="59" t="s">
        <v>69</v>
      </c>
      <c r="P434" s="59"/>
      <c r="Q434" s="59" t="s">
        <v>1505</v>
      </c>
      <c r="R434" s="76" t="s">
        <v>61</v>
      </c>
      <c r="S434" s="59"/>
      <c r="T434" s="59"/>
      <c r="U434" s="77" t="str">
        <f t="array" ref="U434">IFERROR(INDEX(DFD!$D$2:$D$1048791,MATCH($Q434,DFD!$B$2:$B$1048791,0)),"")</f>
        <v/>
      </c>
      <c r="V434" s="77" t="str">
        <f t="array" ref="V434">IFERROR(INDEX(DFD!$F$2:$F$1048791,MATCH($Q434,DFD!$B$2:$B$1048791,0)),"")</f>
        <v/>
      </c>
      <c r="W434" s="84" t="str">
        <f t="array" ref="W434">IFERROR(INDEX(DFD!$E$2:$E$1048791,MATCH($Q434,DFD!$B$2:$B$1048791,0)),"")</f>
        <v/>
      </c>
      <c r="X434" s="84" t="str">
        <f t="array" ref="X434">IFERROR(INDEX(DFD!$K$2:$K$1048791,MATCH($Q434,DFD!$B$2:$B$1048791,0)),"")</f>
        <v/>
      </c>
      <c r="Y434" s="84" t="str">
        <f t="array" ref="Y434">IFERROR(INDEX(DFD!$L$2:$L$1048790,MATCH($Q434,DFD!$B$2:$B$1048790,0)),"")</f>
        <v/>
      </c>
      <c r="Z434" s="84">
        <f t="shared" si="13"/>
        <v>45</v>
      </c>
      <c r="AA434" s="59"/>
      <c r="AB434" s="59" t="s">
        <v>78</v>
      </c>
      <c r="AC434" s="59"/>
      <c r="AD434" s="85">
        <v>46043.0</v>
      </c>
      <c r="AE434" s="86">
        <f t="shared" si="8"/>
        <v>1</v>
      </c>
    </row>
    <row r="435" ht="15.75" customHeight="1">
      <c r="A435" s="87" t="s">
        <v>1506</v>
      </c>
      <c r="B435" s="87" t="s">
        <v>464</v>
      </c>
      <c r="C435" s="116" t="s">
        <v>1507</v>
      </c>
      <c r="D435" s="88" t="s">
        <v>51</v>
      </c>
      <c r="E435" s="88">
        <v>1.0</v>
      </c>
      <c r="F435" s="89">
        <v>1000000.0</v>
      </c>
      <c r="G435" s="90" t="s">
        <v>437</v>
      </c>
      <c r="H435" s="91">
        <v>46266.0</v>
      </c>
      <c r="I435" s="92" t="s">
        <v>17</v>
      </c>
      <c r="J435" s="92" t="s">
        <v>54</v>
      </c>
      <c r="K435" s="92" t="s">
        <v>55</v>
      </c>
      <c r="L435" s="92" t="s">
        <v>67</v>
      </c>
      <c r="M435" s="90" t="s">
        <v>466</v>
      </c>
      <c r="N435" s="92" t="s">
        <v>5</v>
      </c>
      <c r="O435" s="92" t="s">
        <v>89</v>
      </c>
      <c r="P435" s="87"/>
      <c r="Q435" s="87" t="s">
        <v>467</v>
      </c>
      <c r="R435" s="93" t="s">
        <v>1508</v>
      </c>
      <c r="S435" s="87"/>
      <c r="T435" s="87"/>
      <c r="U435" s="94" t="str">
        <f t="array" ref="U435">IFERROR(INDEX(DFD!$D$2:$D$1048791,MATCH($Q435,DFD!$B$2:$B$1048791,0)),"")</f>
        <v/>
      </c>
      <c r="V435" s="94" t="str">
        <f t="array" ref="V435">IFERROR(INDEX(DFD!$F$2:$F$1048791,MATCH($Q435,DFD!$B$2:$B$1048791,0)),"")</f>
        <v/>
      </c>
      <c r="W435" s="97" t="str">
        <f t="array" ref="W435">IFERROR(INDEX(DFD!$E$2:$E$1048791,MATCH($Q435,DFD!$B$2:$B$1048791,0)),"")</f>
        <v/>
      </c>
      <c r="X435" s="97" t="str">
        <f t="array" ref="X435">IFERROR(INDEX(DFD!$K$2:$K$1048791,MATCH($Q435,DFD!$B$2:$B$1048791,0)),"")</f>
        <v/>
      </c>
      <c r="Y435" s="97" t="str">
        <f t="array" ref="Y435">IFERROR(INDEX(DFD!$L$2:$L$1048790,MATCH($Q435,DFD!$B$2:$B$1048790,0)),"")</f>
        <v/>
      </c>
      <c r="Z435" s="97">
        <f t="shared" si="13"/>
        <v>45</v>
      </c>
      <c r="AA435" s="87"/>
      <c r="AB435" s="87" t="s">
        <v>288</v>
      </c>
      <c r="AC435" s="87"/>
      <c r="AD435" s="99">
        <v>46043.0</v>
      </c>
      <c r="AE435" s="100">
        <f t="shared" si="8"/>
        <v>1</v>
      </c>
    </row>
    <row r="436" ht="15.75" customHeight="1">
      <c r="A436" s="59" t="s">
        <v>1509</v>
      </c>
      <c r="B436" s="59" t="s">
        <v>87</v>
      </c>
      <c r="C436" s="60" t="s">
        <v>1510</v>
      </c>
      <c r="D436" s="60" t="s">
        <v>51</v>
      </c>
      <c r="E436" s="60">
        <v>4.0</v>
      </c>
      <c r="F436" s="72">
        <v>800.0</v>
      </c>
      <c r="G436" s="73" t="s">
        <v>53</v>
      </c>
      <c r="H436" s="74">
        <v>46174.0</v>
      </c>
      <c r="I436" s="67" t="s">
        <v>17</v>
      </c>
      <c r="J436" s="67" t="s">
        <v>54</v>
      </c>
      <c r="K436" s="67" t="s">
        <v>66</v>
      </c>
      <c r="L436" s="67" t="s">
        <v>67</v>
      </c>
      <c r="M436" s="73" t="s">
        <v>104</v>
      </c>
      <c r="N436" s="67" t="s">
        <v>5</v>
      </c>
      <c r="O436" s="59" t="s">
        <v>69</v>
      </c>
      <c r="P436" s="59"/>
      <c r="Q436" s="59" t="s">
        <v>1511</v>
      </c>
      <c r="R436" s="76" t="s">
        <v>71</v>
      </c>
      <c r="S436" s="59"/>
      <c r="T436" s="59"/>
      <c r="U436" s="77" t="str">
        <f t="array" ref="U436">IFERROR(INDEX(DFD!$D$2:$D$1048791,MATCH($Q436,DFD!$B$2:$B$1048791,0)),"")</f>
        <v/>
      </c>
      <c r="V436" s="77" t="str">
        <f t="array" ref="V436">IFERROR(INDEX(DFD!$F$2:$F$1048791,MATCH($Q436,DFD!$B$2:$B$1048791,0)),"")</f>
        <v/>
      </c>
      <c r="W436" s="84" t="str">
        <f t="array" ref="W436">IFERROR(INDEX(DFD!$E$2:$E$1048791,MATCH($Q436,DFD!$B$2:$B$1048791,0)),"")</f>
        <v/>
      </c>
      <c r="X436" s="84" t="str">
        <f t="array" ref="X436">IFERROR(INDEX(DFD!$K$2:$K$1048791,MATCH($Q436,DFD!$B$2:$B$1048791,0)),"")</f>
        <v/>
      </c>
      <c r="Y436" s="84" t="str">
        <f t="array" ref="Y436">IFERROR(INDEX(DFD!$L$2:$L$1048790,MATCH($Q436,DFD!$B$2:$B$1048790,0)),"")</f>
        <v/>
      </c>
      <c r="Z436" s="84">
        <f t="shared" si="13"/>
        <v>45</v>
      </c>
      <c r="AA436" s="59"/>
      <c r="AB436" s="59" t="s">
        <v>78</v>
      </c>
      <c r="AC436" s="59"/>
      <c r="AD436" s="85">
        <v>46043.0</v>
      </c>
      <c r="AE436" s="86">
        <f t="shared" si="8"/>
        <v>1</v>
      </c>
    </row>
    <row r="437" ht="15.75" customHeight="1">
      <c r="A437" s="87" t="s">
        <v>1512</v>
      </c>
      <c r="B437" s="87" t="s">
        <v>101</v>
      </c>
      <c r="C437" s="88" t="s">
        <v>1510</v>
      </c>
      <c r="D437" s="88" t="s">
        <v>51</v>
      </c>
      <c r="E437" s="88">
        <v>4.0</v>
      </c>
      <c r="F437" s="89">
        <v>720.0</v>
      </c>
      <c r="G437" s="90" t="s">
        <v>53</v>
      </c>
      <c r="H437" s="91">
        <v>46174.0</v>
      </c>
      <c r="I437" s="92" t="s">
        <v>17</v>
      </c>
      <c r="J437" s="92" t="s">
        <v>54</v>
      </c>
      <c r="K437" s="92" t="s">
        <v>66</v>
      </c>
      <c r="L437" s="92" t="s">
        <v>56</v>
      </c>
      <c r="M437" s="90" t="s">
        <v>112</v>
      </c>
      <c r="N437" s="92" t="s">
        <v>58</v>
      </c>
      <c r="O437" s="87" t="s">
        <v>69</v>
      </c>
      <c r="P437" s="87"/>
      <c r="Q437" s="87" t="s">
        <v>1511</v>
      </c>
      <c r="R437" s="93" t="s">
        <v>71</v>
      </c>
      <c r="S437" s="87"/>
      <c r="T437" s="87"/>
      <c r="U437" s="94" t="str">
        <f t="array" ref="U437">IFERROR(INDEX(DFD!$D$2:$D$1048791,MATCH($Q437,DFD!$B$2:$B$1048791,0)),"")</f>
        <v/>
      </c>
      <c r="V437" s="94" t="str">
        <f t="array" ref="V437">IFERROR(INDEX(DFD!$F$2:$F$1048791,MATCH($Q437,DFD!$B$2:$B$1048791,0)),"")</f>
        <v/>
      </c>
      <c r="W437" s="97" t="str">
        <f t="array" ref="W437">IFERROR(INDEX(DFD!$E$2:$E$1048791,MATCH($Q437,DFD!$B$2:$B$1048791,0)),"")</f>
        <v/>
      </c>
      <c r="X437" s="97" t="str">
        <f t="array" ref="X437">IFERROR(INDEX(DFD!$K$2:$K$1048791,MATCH($Q437,DFD!$B$2:$B$1048791,0)),"")</f>
        <v/>
      </c>
      <c r="Y437" s="97" t="str">
        <f t="array" ref="Y437">IFERROR(INDEX(DFD!$L$2:$L$1048790,MATCH($Q437,DFD!$B$2:$B$1048790,0)),"")</f>
        <v/>
      </c>
      <c r="Z437" s="97">
        <f t="shared" si="13"/>
        <v>45</v>
      </c>
      <c r="AA437" s="87"/>
      <c r="AB437" s="87" t="s">
        <v>78</v>
      </c>
      <c r="AC437" s="87"/>
      <c r="AD437" s="99">
        <v>46043.0</v>
      </c>
      <c r="AE437" s="100">
        <f t="shared" si="8"/>
        <v>1</v>
      </c>
    </row>
    <row r="438" ht="15.75" customHeight="1">
      <c r="A438" s="59" t="s">
        <v>1513</v>
      </c>
      <c r="B438" s="59" t="s">
        <v>92</v>
      </c>
      <c r="C438" s="60" t="s">
        <v>1510</v>
      </c>
      <c r="D438" s="60" t="s">
        <v>51</v>
      </c>
      <c r="E438" s="60">
        <v>4.0</v>
      </c>
      <c r="F438" s="72">
        <v>600.0</v>
      </c>
      <c r="G438" s="73" t="s">
        <v>53</v>
      </c>
      <c r="H438" s="74">
        <v>46174.0</v>
      </c>
      <c r="I438" s="67" t="s">
        <v>17</v>
      </c>
      <c r="J438" s="67" t="s">
        <v>54</v>
      </c>
      <c r="K438" s="67" t="s">
        <v>66</v>
      </c>
      <c r="L438" s="67" t="s">
        <v>67</v>
      </c>
      <c r="M438" s="73" t="s">
        <v>104</v>
      </c>
      <c r="N438" s="67" t="s">
        <v>5</v>
      </c>
      <c r="O438" s="67" t="s">
        <v>89</v>
      </c>
      <c r="P438" s="59"/>
      <c r="Q438" s="59" t="s">
        <v>1511</v>
      </c>
      <c r="R438" s="76" t="s">
        <v>71</v>
      </c>
      <c r="S438" s="59"/>
      <c r="T438" s="59"/>
      <c r="U438" s="77" t="str">
        <f t="array" ref="U438">IFERROR(INDEX(DFD!$D$2:$D$1048791,MATCH($Q438,DFD!$B$2:$B$1048791,0)),"")</f>
        <v/>
      </c>
      <c r="V438" s="77" t="str">
        <f t="array" ref="V438">IFERROR(INDEX(DFD!$F$2:$F$1048791,MATCH($Q438,DFD!$B$2:$B$1048791,0)),"")</f>
        <v/>
      </c>
      <c r="W438" s="84" t="str">
        <f t="array" ref="W438">IFERROR(INDEX(DFD!$E$2:$E$1048791,MATCH($Q438,DFD!$B$2:$B$1048791,0)),"")</f>
        <v/>
      </c>
      <c r="X438" s="84" t="str">
        <f t="array" ref="X438">IFERROR(INDEX(DFD!$K$2:$K$1048791,MATCH($Q438,DFD!$B$2:$B$1048791,0)),"")</f>
        <v/>
      </c>
      <c r="Y438" s="84" t="str">
        <f t="array" ref="Y438">IFERROR(INDEX(DFD!$L$2:$L$1048790,MATCH($Q438,DFD!$B$2:$B$1048790,0)),"")</f>
        <v/>
      </c>
      <c r="Z438" s="84">
        <f t="shared" si="13"/>
        <v>45</v>
      </c>
      <c r="AA438" s="59"/>
      <c r="AB438" s="59" t="s">
        <v>78</v>
      </c>
      <c r="AC438" s="59"/>
      <c r="AD438" s="85">
        <v>46043.0</v>
      </c>
      <c r="AE438" s="86">
        <f t="shared" si="8"/>
        <v>1</v>
      </c>
    </row>
    <row r="439" ht="15.75" customHeight="1">
      <c r="A439" s="87" t="s">
        <v>1514</v>
      </c>
      <c r="B439" s="87" t="s">
        <v>80</v>
      </c>
      <c r="C439" s="88" t="s">
        <v>1510</v>
      </c>
      <c r="D439" s="88" t="s">
        <v>51</v>
      </c>
      <c r="E439" s="88">
        <v>3.0</v>
      </c>
      <c r="F439" s="89">
        <v>450.0</v>
      </c>
      <c r="G439" s="90" t="s">
        <v>53</v>
      </c>
      <c r="H439" s="91">
        <v>46174.0</v>
      </c>
      <c r="I439" s="92" t="s">
        <v>17</v>
      </c>
      <c r="J439" s="92" t="s">
        <v>54</v>
      </c>
      <c r="K439" s="92" t="s">
        <v>66</v>
      </c>
      <c r="L439" s="92" t="s">
        <v>67</v>
      </c>
      <c r="M439" s="90" t="s">
        <v>104</v>
      </c>
      <c r="N439" s="92" t="s">
        <v>5</v>
      </c>
      <c r="O439" s="87" t="s">
        <v>69</v>
      </c>
      <c r="P439" s="87"/>
      <c r="Q439" s="87" t="s">
        <v>1511</v>
      </c>
      <c r="R439" s="93" t="s">
        <v>71</v>
      </c>
      <c r="S439" s="87"/>
      <c r="T439" s="87"/>
      <c r="U439" s="94" t="str">
        <f t="array" ref="U439">IFERROR(INDEX(DFD!$D$2:$D$1048791,MATCH($Q439,DFD!$B$2:$B$1048791,0)),"")</f>
        <v/>
      </c>
      <c r="V439" s="94" t="str">
        <f t="array" ref="V439">IFERROR(INDEX(DFD!$F$2:$F$1048791,MATCH($Q439,DFD!$B$2:$B$1048791,0)),"")</f>
        <v/>
      </c>
      <c r="W439" s="97" t="str">
        <f t="array" ref="W439">IFERROR(INDEX(DFD!$E$2:$E$1048791,MATCH($Q439,DFD!$B$2:$B$1048791,0)),"")</f>
        <v/>
      </c>
      <c r="X439" s="97" t="str">
        <f t="array" ref="X439">IFERROR(INDEX(DFD!$K$2:$K$1048791,MATCH($Q439,DFD!$B$2:$B$1048791,0)),"")</f>
        <v/>
      </c>
      <c r="Y439" s="97" t="str">
        <f t="array" ref="Y439">IFERROR(INDEX(DFD!$L$2:$L$1048790,MATCH($Q439,DFD!$B$2:$B$1048790,0)),"")</f>
        <v/>
      </c>
      <c r="Z439" s="97">
        <f t="shared" si="13"/>
        <v>45</v>
      </c>
      <c r="AA439" s="87"/>
      <c r="AB439" s="87" t="s">
        <v>78</v>
      </c>
      <c r="AC439" s="87"/>
      <c r="AD439" s="99">
        <v>46043.0</v>
      </c>
      <c r="AE439" s="100">
        <f t="shared" si="8"/>
        <v>1</v>
      </c>
    </row>
    <row r="440" ht="15.75" customHeight="1">
      <c r="A440" s="59" t="s">
        <v>1515</v>
      </c>
      <c r="B440" s="59" t="s">
        <v>98</v>
      </c>
      <c r="C440" s="60" t="s">
        <v>1510</v>
      </c>
      <c r="D440" s="60" t="s">
        <v>51</v>
      </c>
      <c r="E440" s="60">
        <v>2.0</v>
      </c>
      <c r="F440" s="72">
        <v>400.0</v>
      </c>
      <c r="G440" s="73" t="s">
        <v>53</v>
      </c>
      <c r="H440" s="74">
        <v>46174.0</v>
      </c>
      <c r="I440" s="67" t="s">
        <v>17</v>
      </c>
      <c r="J440" s="67" t="s">
        <v>54</v>
      </c>
      <c r="K440" s="67" t="s">
        <v>66</v>
      </c>
      <c r="L440" s="67" t="s">
        <v>67</v>
      </c>
      <c r="M440" s="73" t="s">
        <v>104</v>
      </c>
      <c r="N440" s="67" t="s">
        <v>5</v>
      </c>
      <c r="O440" s="59" t="s">
        <v>69</v>
      </c>
      <c r="P440" s="59"/>
      <c r="Q440" s="59" t="s">
        <v>1511</v>
      </c>
      <c r="R440" s="76" t="s">
        <v>71</v>
      </c>
      <c r="S440" s="59"/>
      <c r="T440" s="59"/>
      <c r="U440" s="77" t="str">
        <f t="array" ref="U440">IFERROR(INDEX(DFD!$D$2:$D$1048791,MATCH($Q440,DFD!$B$2:$B$1048791,0)),"")</f>
        <v/>
      </c>
      <c r="V440" s="77" t="str">
        <f t="array" ref="V440">IFERROR(INDEX(DFD!$F$2:$F$1048791,MATCH($Q440,DFD!$B$2:$B$1048791,0)),"")</f>
        <v/>
      </c>
      <c r="W440" s="84" t="str">
        <f t="array" ref="W440">IFERROR(INDEX(DFD!$E$2:$E$1048791,MATCH($Q440,DFD!$B$2:$B$1048791,0)),"")</f>
        <v/>
      </c>
      <c r="X440" s="84" t="str">
        <f t="array" ref="X440">IFERROR(INDEX(DFD!$K$2:$K$1048791,MATCH($Q440,DFD!$B$2:$B$1048791,0)),"")</f>
        <v/>
      </c>
      <c r="Y440" s="84" t="str">
        <f t="array" ref="Y440">IFERROR(INDEX(DFD!$L$2:$L$1048790,MATCH($Q440,DFD!$B$2:$B$1048790,0)),"")</f>
        <v/>
      </c>
      <c r="Z440" s="84">
        <f t="shared" si="13"/>
        <v>45</v>
      </c>
      <c r="AA440" s="59"/>
      <c r="AB440" s="59" t="s">
        <v>78</v>
      </c>
      <c r="AC440" s="59"/>
      <c r="AD440" s="85">
        <v>46043.0</v>
      </c>
      <c r="AE440" s="86">
        <f t="shared" si="8"/>
        <v>1</v>
      </c>
    </row>
    <row r="441" ht="15.75" customHeight="1">
      <c r="A441" s="87" t="s">
        <v>1516</v>
      </c>
      <c r="B441" s="87" t="s">
        <v>172</v>
      </c>
      <c r="C441" s="88" t="s">
        <v>1510</v>
      </c>
      <c r="D441" s="88" t="s">
        <v>51</v>
      </c>
      <c r="E441" s="88">
        <v>1.0</v>
      </c>
      <c r="F441" s="89">
        <v>100.0</v>
      </c>
      <c r="G441" s="90" t="s">
        <v>53</v>
      </c>
      <c r="H441" s="91">
        <v>46143.0</v>
      </c>
      <c r="I441" s="92" t="s">
        <v>17</v>
      </c>
      <c r="J441" s="92" t="s">
        <v>54</v>
      </c>
      <c r="K441" s="92" t="s">
        <v>66</v>
      </c>
      <c r="L441" s="92" t="s">
        <v>67</v>
      </c>
      <c r="M441" s="90" t="s">
        <v>104</v>
      </c>
      <c r="N441" s="92" t="s">
        <v>20</v>
      </c>
      <c r="O441" s="92" t="s">
        <v>89</v>
      </c>
      <c r="P441" s="87"/>
      <c r="Q441" s="87" t="s">
        <v>1511</v>
      </c>
      <c r="R441" s="93" t="s">
        <v>71</v>
      </c>
      <c r="S441" s="87"/>
      <c r="T441" s="87"/>
      <c r="U441" s="94" t="str">
        <f t="array" ref="U441">IFERROR(INDEX(DFD!$D$2:$D$1048791,MATCH($Q441,DFD!$B$2:$B$1048791,0)),"")</f>
        <v/>
      </c>
      <c r="V441" s="94" t="str">
        <f t="array" ref="V441">IFERROR(INDEX(DFD!$F$2:$F$1048791,MATCH($Q441,DFD!$B$2:$B$1048791,0)),"")</f>
        <v/>
      </c>
      <c r="W441" s="97" t="str">
        <f t="array" ref="W441">IFERROR(INDEX(DFD!$E$2:$E$1048791,MATCH($Q441,DFD!$B$2:$B$1048791,0)),"")</f>
        <v/>
      </c>
      <c r="X441" s="97" t="str">
        <f t="array" ref="X441">IFERROR(INDEX(DFD!$K$2:$K$1048791,MATCH($Q441,DFD!$B$2:$B$1048791,0)),"")</f>
        <v/>
      </c>
      <c r="Y441" s="97" t="str">
        <f t="array" ref="Y441">IFERROR(INDEX(DFD!$L$2:$L$1048790,MATCH($Q441,DFD!$B$2:$B$1048790,0)),"")</f>
        <v/>
      </c>
      <c r="Z441" s="97">
        <f t="shared" si="13"/>
        <v>45</v>
      </c>
      <c r="AA441" s="87"/>
      <c r="AB441" s="87" t="s">
        <v>78</v>
      </c>
      <c r="AC441" s="87"/>
      <c r="AD441" s="99">
        <v>46043.0</v>
      </c>
      <c r="AE441" s="100">
        <f t="shared" si="8"/>
        <v>1</v>
      </c>
    </row>
    <row r="442" ht="15.75" customHeight="1">
      <c r="A442" s="67" t="s">
        <v>1517</v>
      </c>
      <c r="B442" s="59" t="s">
        <v>184</v>
      </c>
      <c r="C442" s="60" t="s">
        <v>1518</v>
      </c>
      <c r="D442" s="60" t="s">
        <v>51</v>
      </c>
      <c r="E442" s="60">
        <v>200.0</v>
      </c>
      <c r="F442" s="72">
        <v>160.0</v>
      </c>
      <c r="G442" s="73" t="s">
        <v>53</v>
      </c>
      <c r="H442" s="74">
        <v>46143.0</v>
      </c>
      <c r="I442" s="67" t="s">
        <v>17</v>
      </c>
      <c r="J442" s="67" t="s">
        <v>54</v>
      </c>
      <c r="K442" s="67" t="s">
        <v>66</v>
      </c>
      <c r="L442" s="67" t="s">
        <v>67</v>
      </c>
      <c r="M442" s="73" t="s">
        <v>68</v>
      </c>
      <c r="N442" s="67" t="s">
        <v>20</v>
      </c>
      <c r="O442" s="59" t="s">
        <v>69</v>
      </c>
      <c r="P442" s="59"/>
      <c r="Q442" s="59" t="s">
        <v>800</v>
      </c>
      <c r="R442" s="76" t="s">
        <v>287</v>
      </c>
      <c r="S442" s="59"/>
      <c r="T442" s="59"/>
      <c r="U442" s="77" t="str">
        <f t="array" ref="U442">IFERROR(INDEX(DFD!$D$2:$D$1048791,MATCH($Q442,DFD!$B$2:$B$1048791,0)),"")</f>
        <v/>
      </c>
      <c r="V442" s="77" t="str">
        <f t="array" ref="V442">IFERROR(INDEX(DFD!$F$2:$F$1048791,MATCH($Q442,DFD!$B$2:$B$1048791,0)),"")</f>
        <v/>
      </c>
      <c r="W442" s="84" t="str">
        <f t="array" ref="W442">IFERROR(INDEX(DFD!$E$2:$E$1048791,MATCH($Q442,DFD!$B$2:$B$1048791,0)),"")</f>
        <v/>
      </c>
      <c r="X442" s="84" t="str">
        <f t="array" ref="X442">IFERROR(INDEX(DFD!$K$2:$K$1048791,MATCH($Q442,DFD!$B$2:$B$1048791,0)),"")</f>
        <v/>
      </c>
      <c r="Y442" s="84" t="str">
        <f t="array" ref="Y442">IFERROR(INDEX(DFD!$L$2:$L$1048790,MATCH($Q442,DFD!$B$2:$B$1048790,0)),"")</f>
        <v/>
      </c>
      <c r="Z442" s="84">
        <f t="shared" si="13"/>
        <v>45</v>
      </c>
      <c r="AA442" s="59"/>
      <c r="AB442" s="59" t="s">
        <v>78</v>
      </c>
      <c r="AC442" s="59"/>
      <c r="AD442" s="85">
        <v>46043.0</v>
      </c>
      <c r="AE442" s="86">
        <f t="shared" si="8"/>
        <v>1</v>
      </c>
    </row>
    <row r="443" ht="15.75" customHeight="1">
      <c r="A443" s="87" t="s">
        <v>1519</v>
      </c>
      <c r="B443" s="87" t="s">
        <v>101</v>
      </c>
      <c r="C443" s="88" t="s">
        <v>1520</v>
      </c>
      <c r="D443" s="88" t="s">
        <v>51</v>
      </c>
      <c r="E443" s="88">
        <v>30.0</v>
      </c>
      <c r="F443" s="89">
        <v>2591.64</v>
      </c>
      <c r="G443" s="90" t="s">
        <v>53</v>
      </c>
      <c r="H443" s="91">
        <v>46174.0</v>
      </c>
      <c r="I443" s="92" t="s">
        <v>17</v>
      </c>
      <c r="J443" s="92" t="s">
        <v>54</v>
      </c>
      <c r="K443" s="92" t="s">
        <v>66</v>
      </c>
      <c r="L443" s="92" t="s">
        <v>56</v>
      </c>
      <c r="M443" s="90" t="s">
        <v>167</v>
      </c>
      <c r="N443" s="92" t="s">
        <v>58</v>
      </c>
      <c r="O443" s="87" t="s">
        <v>69</v>
      </c>
      <c r="P443" s="87"/>
      <c r="Q443" s="87" t="s">
        <v>118</v>
      </c>
      <c r="R443" s="93" t="s">
        <v>181</v>
      </c>
      <c r="S443" s="87"/>
      <c r="T443" s="87"/>
      <c r="U443" s="94" t="str">
        <f t="array" ref="U443">IFERROR(INDEX(DFD!$D$2:$D$1048791,MATCH($Q443,DFD!$B$2:$B$1048791,0)),"")</f>
        <v/>
      </c>
      <c r="V443" s="94" t="str">
        <f t="array" ref="V443">IFERROR(INDEX(DFD!$F$2:$F$1048791,MATCH($Q443,DFD!$B$2:$B$1048791,0)),"")</f>
        <v/>
      </c>
      <c r="W443" s="97" t="str">
        <f t="array" ref="W443">IFERROR(INDEX(DFD!$E$2:$E$1048791,MATCH($Q443,DFD!$B$2:$B$1048791,0)),"")</f>
        <v/>
      </c>
      <c r="X443" s="97" t="str">
        <f t="array" ref="X443">IFERROR(INDEX(DFD!$K$2:$K$1048791,MATCH($Q443,DFD!$B$2:$B$1048791,0)),"")</f>
        <v/>
      </c>
      <c r="Y443" s="97" t="str">
        <f t="array" ref="Y443">IFERROR(INDEX(DFD!$L$2:$L$1048790,MATCH($Q443,DFD!$B$2:$B$1048790,0)),"")</f>
        <v/>
      </c>
      <c r="Z443" s="97">
        <f t="shared" si="13"/>
        <v>45</v>
      </c>
      <c r="AA443" s="87"/>
      <c r="AB443" s="87" t="s">
        <v>78</v>
      </c>
      <c r="AC443" s="87"/>
      <c r="AD443" s="99">
        <v>46043.0</v>
      </c>
      <c r="AE443" s="100">
        <f t="shared" si="8"/>
        <v>1</v>
      </c>
    </row>
    <row r="444" ht="15.75" customHeight="1">
      <c r="A444" s="59" t="s">
        <v>1521</v>
      </c>
      <c r="B444" s="59" t="s">
        <v>101</v>
      </c>
      <c r="C444" s="60" t="s">
        <v>1522</v>
      </c>
      <c r="D444" s="60" t="s">
        <v>51</v>
      </c>
      <c r="E444" s="60">
        <v>2.0</v>
      </c>
      <c r="F444" s="72">
        <v>168.0</v>
      </c>
      <c r="G444" s="73" t="s">
        <v>53</v>
      </c>
      <c r="H444" s="74">
        <v>46143.0</v>
      </c>
      <c r="I444" s="67" t="s">
        <v>17</v>
      </c>
      <c r="J444" s="67" t="s">
        <v>54</v>
      </c>
      <c r="K444" s="67" t="s">
        <v>66</v>
      </c>
      <c r="L444" s="67" t="s">
        <v>56</v>
      </c>
      <c r="M444" s="73" t="s">
        <v>132</v>
      </c>
      <c r="N444" s="67" t="s">
        <v>58</v>
      </c>
      <c r="O444" s="67" t="s">
        <v>89</v>
      </c>
      <c r="P444" s="59"/>
      <c r="Q444" s="59" t="s">
        <v>118</v>
      </c>
      <c r="R444" s="76" t="s">
        <v>181</v>
      </c>
      <c r="S444" s="59"/>
      <c r="T444" s="59"/>
      <c r="U444" s="77" t="str">
        <f t="array" ref="U444">IFERROR(INDEX(DFD!$D$2:$D$1048791,MATCH($Q444,DFD!$B$2:$B$1048791,0)),"")</f>
        <v/>
      </c>
      <c r="V444" s="77" t="str">
        <f t="array" ref="V444">IFERROR(INDEX(DFD!$F$2:$F$1048791,MATCH($Q444,DFD!$B$2:$B$1048791,0)),"")</f>
        <v/>
      </c>
      <c r="W444" s="84" t="str">
        <f t="array" ref="W444">IFERROR(INDEX(DFD!$E$2:$E$1048791,MATCH($Q444,DFD!$B$2:$B$1048791,0)),"")</f>
        <v/>
      </c>
      <c r="X444" s="84" t="str">
        <f t="array" ref="X444">IFERROR(INDEX(DFD!$K$2:$K$1048791,MATCH($Q444,DFD!$B$2:$B$1048791,0)),"")</f>
        <v/>
      </c>
      <c r="Y444" s="84" t="str">
        <f t="array" ref="Y444">IFERROR(INDEX(DFD!$L$2:$L$1048790,MATCH($Q444,DFD!$B$2:$B$1048790,0)),"")</f>
        <v/>
      </c>
      <c r="Z444" s="84">
        <f t="shared" si="13"/>
        <v>45</v>
      </c>
      <c r="AA444" s="59"/>
      <c r="AB444" s="59" t="s">
        <v>78</v>
      </c>
      <c r="AC444" s="59"/>
      <c r="AD444" s="85">
        <v>46043.0</v>
      </c>
      <c r="AE444" s="86">
        <f t="shared" si="8"/>
        <v>1</v>
      </c>
    </row>
    <row r="445" ht="15.75" customHeight="1">
      <c r="A445" s="87" t="s">
        <v>1523</v>
      </c>
      <c r="B445" s="87" t="s">
        <v>92</v>
      </c>
      <c r="C445" s="88" t="s">
        <v>1524</v>
      </c>
      <c r="D445" s="88" t="s">
        <v>51</v>
      </c>
      <c r="E445" s="88">
        <v>12.0</v>
      </c>
      <c r="F445" s="89">
        <v>1920.0</v>
      </c>
      <c r="G445" s="90" t="s">
        <v>53</v>
      </c>
      <c r="H445" s="91">
        <v>46174.0</v>
      </c>
      <c r="I445" s="92" t="s">
        <v>17</v>
      </c>
      <c r="J445" s="92" t="s">
        <v>54</v>
      </c>
      <c r="K445" s="92" t="s">
        <v>66</v>
      </c>
      <c r="L445" s="92" t="s">
        <v>67</v>
      </c>
      <c r="M445" s="90" t="s">
        <v>57</v>
      </c>
      <c r="N445" s="92" t="s">
        <v>5</v>
      </c>
      <c r="O445" s="87" t="s">
        <v>69</v>
      </c>
      <c r="P445" s="87"/>
      <c r="Q445" s="87" t="s">
        <v>1361</v>
      </c>
      <c r="R445" s="93" t="s">
        <v>71</v>
      </c>
      <c r="S445" s="87"/>
      <c r="T445" s="87"/>
      <c r="U445" s="94" t="str">
        <f t="array" ref="U445">IFERROR(INDEX(DFD!$D$2:$D$1048791,MATCH($Q445,DFD!$B$2:$B$1048791,0)),"")</f>
        <v/>
      </c>
      <c r="V445" s="94" t="str">
        <f t="array" ref="V445">IFERROR(INDEX(DFD!$F$2:$F$1048791,MATCH($Q445,DFD!$B$2:$B$1048791,0)),"")</f>
        <v/>
      </c>
      <c r="W445" s="97" t="str">
        <f t="array" ref="W445">IFERROR(INDEX(DFD!$E$2:$E$1048791,MATCH($Q445,DFD!$B$2:$B$1048791,0)),"")</f>
        <v/>
      </c>
      <c r="X445" s="97" t="str">
        <f t="array" ref="X445">IFERROR(INDEX(DFD!$K$2:$K$1048791,MATCH($Q445,DFD!$B$2:$B$1048791,0)),"")</f>
        <v/>
      </c>
      <c r="Y445" s="97" t="str">
        <f t="array" ref="Y445">IFERROR(INDEX(DFD!$L$2:$L$1048790,MATCH($Q445,DFD!$B$2:$B$1048790,0)),"")</f>
        <v/>
      </c>
      <c r="Z445" s="97">
        <f t="shared" si="13"/>
        <v>45</v>
      </c>
      <c r="AA445" s="87"/>
      <c r="AB445" s="87" t="s">
        <v>78</v>
      </c>
      <c r="AC445" s="87"/>
      <c r="AD445" s="99">
        <v>46043.0</v>
      </c>
      <c r="AE445" s="100">
        <f t="shared" si="8"/>
        <v>1</v>
      </c>
    </row>
    <row r="446" ht="15.75" customHeight="1">
      <c r="A446" s="59" t="s">
        <v>1525</v>
      </c>
      <c r="B446" s="59" t="s">
        <v>171</v>
      </c>
      <c r="C446" s="60" t="s">
        <v>1526</v>
      </c>
      <c r="D446" s="60" t="s">
        <v>51</v>
      </c>
      <c r="E446" s="60">
        <v>30.0</v>
      </c>
      <c r="F446" s="72">
        <v>5100.0</v>
      </c>
      <c r="G446" s="73" t="s">
        <v>53</v>
      </c>
      <c r="H446" s="74">
        <v>46204.0</v>
      </c>
      <c r="I446" s="67" t="s">
        <v>17</v>
      </c>
      <c r="J446" s="67" t="s">
        <v>54</v>
      </c>
      <c r="K446" s="67" t="s">
        <v>66</v>
      </c>
      <c r="L446" s="67" t="s">
        <v>67</v>
      </c>
      <c r="M446" s="73" t="s">
        <v>57</v>
      </c>
      <c r="N446" s="67" t="s">
        <v>5</v>
      </c>
      <c r="O446" s="59" t="s">
        <v>69</v>
      </c>
      <c r="P446" s="59"/>
      <c r="Q446" s="59" t="s">
        <v>1361</v>
      </c>
      <c r="R446" s="76" t="s">
        <v>71</v>
      </c>
      <c r="S446" s="59"/>
      <c r="T446" s="59"/>
      <c r="U446" s="77" t="str">
        <f t="array" ref="U446">IFERROR(INDEX(DFD!$D$2:$D$1048791,MATCH($Q446,DFD!$B$2:$B$1048791,0)),"")</f>
        <v/>
      </c>
      <c r="V446" s="77" t="str">
        <f t="array" ref="V446">IFERROR(INDEX(DFD!$F$2:$F$1048791,MATCH($Q446,DFD!$B$2:$B$1048791,0)),"")</f>
        <v/>
      </c>
      <c r="W446" s="84" t="str">
        <f t="array" ref="W446">IFERROR(INDEX(DFD!$E$2:$E$1048791,MATCH($Q446,DFD!$B$2:$B$1048791,0)),"")</f>
        <v/>
      </c>
      <c r="X446" s="84" t="str">
        <f t="array" ref="X446">IFERROR(INDEX(DFD!$K$2:$K$1048791,MATCH($Q446,DFD!$B$2:$B$1048791,0)),"")</f>
        <v/>
      </c>
      <c r="Y446" s="84" t="str">
        <f t="array" ref="Y446">IFERROR(INDEX(DFD!$L$2:$L$1048790,MATCH($Q446,DFD!$B$2:$B$1048790,0)),"")</f>
        <v/>
      </c>
      <c r="Z446" s="84">
        <f t="shared" si="13"/>
        <v>45</v>
      </c>
      <c r="AA446" s="59"/>
      <c r="AB446" s="59" t="s">
        <v>78</v>
      </c>
      <c r="AC446" s="59"/>
      <c r="AD446" s="85">
        <v>46043.0</v>
      </c>
      <c r="AE446" s="86">
        <f t="shared" si="8"/>
        <v>1</v>
      </c>
    </row>
    <row r="447" ht="15.75" customHeight="1">
      <c r="A447" s="87" t="s">
        <v>1527</v>
      </c>
      <c r="B447" s="87" t="s">
        <v>92</v>
      </c>
      <c r="C447" s="88" t="s">
        <v>1526</v>
      </c>
      <c r="D447" s="88" t="s">
        <v>51</v>
      </c>
      <c r="E447" s="88">
        <v>12.0</v>
      </c>
      <c r="F447" s="89">
        <v>2040.0</v>
      </c>
      <c r="G447" s="90" t="s">
        <v>53</v>
      </c>
      <c r="H447" s="91">
        <v>46174.0</v>
      </c>
      <c r="I447" s="92" t="s">
        <v>17</v>
      </c>
      <c r="J447" s="92" t="s">
        <v>54</v>
      </c>
      <c r="K447" s="92" t="s">
        <v>66</v>
      </c>
      <c r="L447" s="92" t="s">
        <v>67</v>
      </c>
      <c r="M447" s="90" t="s">
        <v>57</v>
      </c>
      <c r="N447" s="92" t="s">
        <v>5</v>
      </c>
      <c r="O447" s="92" t="s">
        <v>89</v>
      </c>
      <c r="P447" s="87"/>
      <c r="Q447" s="87" t="s">
        <v>1361</v>
      </c>
      <c r="R447" s="93" t="s">
        <v>71</v>
      </c>
      <c r="S447" s="87"/>
      <c r="T447" s="87"/>
      <c r="U447" s="94" t="str">
        <f t="array" ref="U447">IFERROR(INDEX(DFD!$D$2:$D$1048791,MATCH($Q447,DFD!$B$2:$B$1048791,0)),"")</f>
        <v/>
      </c>
      <c r="V447" s="94" t="str">
        <f t="array" ref="V447">IFERROR(INDEX(DFD!$F$2:$F$1048791,MATCH($Q447,DFD!$B$2:$B$1048791,0)),"")</f>
        <v/>
      </c>
      <c r="W447" s="97" t="str">
        <f t="array" ref="W447">IFERROR(INDEX(DFD!$E$2:$E$1048791,MATCH($Q447,DFD!$B$2:$B$1048791,0)),"")</f>
        <v/>
      </c>
      <c r="X447" s="97" t="str">
        <f t="array" ref="X447">IFERROR(INDEX(DFD!$K$2:$K$1048791,MATCH($Q447,DFD!$B$2:$B$1048791,0)),"")</f>
        <v/>
      </c>
      <c r="Y447" s="97" t="str">
        <f t="array" ref="Y447">IFERROR(INDEX(DFD!$L$2:$L$1048790,MATCH($Q447,DFD!$B$2:$B$1048790,0)),"")</f>
        <v/>
      </c>
      <c r="Z447" s="97">
        <f t="shared" si="13"/>
        <v>45</v>
      </c>
      <c r="AA447" s="87"/>
      <c r="AB447" s="87" t="s">
        <v>78</v>
      </c>
      <c r="AC447" s="87"/>
      <c r="AD447" s="99">
        <v>46043.0</v>
      </c>
      <c r="AE447" s="100">
        <f t="shared" si="8"/>
        <v>1</v>
      </c>
    </row>
    <row r="448" ht="15.75" customHeight="1">
      <c r="A448" s="59" t="s">
        <v>1528</v>
      </c>
      <c r="B448" s="59" t="s">
        <v>81</v>
      </c>
      <c r="C448" s="60" t="s">
        <v>1529</v>
      </c>
      <c r="D448" s="60" t="s">
        <v>51</v>
      </c>
      <c r="E448" s="60">
        <v>3.0</v>
      </c>
      <c r="F448" s="72">
        <v>900.0</v>
      </c>
      <c r="G448" s="73" t="s">
        <v>53</v>
      </c>
      <c r="H448" s="74">
        <v>46174.0</v>
      </c>
      <c r="I448" s="67" t="s">
        <v>17</v>
      </c>
      <c r="J448" s="67" t="s">
        <v>54</v>
      </c>
      <c r="K448" s="67" t="s">
        <v>66</v>
      </c>
      <c r="L448" s="67" t="s">
        <v>67</v>
      </c>
      <c r="M448" s="73" t="s">
        <v>132</v>
      </c>
      <c r="N448" s="67" t="s">
        <v>5</v>
      </c>
      <c r="O448" s="59" t="s">
        <v>69</v>
      </c>
      <c r="P448" s="59"/>
      <c r="Q448" s="59" t="s">
        <v>1511</v>
      </c>
      <c r="R448" s="76" t="s">
        <v>71</v>
      </c>
      <c r="S448" s="59"/>
      <c r="T448" s="59"/>
      <c r="U448" s="77" t="str">
        <f t="array" ref="U448">IFERROR(INDEX(DFD!$D$2:$D$1048791,MATCH($Q448,DFD!$B$2:$B$1048791,0)),"")</f>
        <v/>
      </c>
      <c r="V448" s="77" t="str">
        <f t="array" ref="V448">IFERROR(INDEX(DFD!$F$2:$F$1048791,MATCH($Q448,DFD!$B$2:$B$1048791,0)),"")</f>
        <v/>
      </c>
      <c r="W448" s="84" t="str">
        <f t="array" ref="W448">IFERROR(INDEX(DFD!$E$2:$E$1048791,MATCH($Q448,DFD!$B$2:$B$1048791,0)),"")</f>
        <v/>
      </c>
      <c r="X448" s="84" t="str">
        <f t="array" ref="X448">IFERROR(INDEX(DFD!$K$2:$K$1048791,MATCH($Q448,DFD!$B$2:$B$1048791,0)),"")</f>
        <v/>
      </c>
      <c r="Y448" s="84" t="str">
        <f t="array" ref="Y448">IFERROR(INDEX(DFD!$L$2:$L$1048790,MATCH($Q448,DFD!$B$2:$B$1048790,0)),"")</f>
        <v/>
      </c>
      <c r="Z448" s="84">
        <f t="shared" si="13"/>
        <v>45</v>
      </c>
      <c r="AA448" s="59"/>
      <c r="AB448" s="59" t="s">
        <v>78</v>
      </c>
      <c r="AC448" s="59"/>
      <c r="AD448" s="85">
        <v>46043.0</v>
      </c>
      <c r="AE448" s="86">
        <f t="shared" si="8"/>
        <v>1</v>
      </c>
    </row>
    <row r="449" ht="15.75" customHeight="1">
      <c r="A449" s="87" t="s">
        <v>1530</v>
      </c>
      <c r="B449" s="87" t="s">
        <v>81</v>
      </c>
      <c r="C449" s="88" t="s">
        <v>1531</v>
      </c>
      <c r="D449" s="88" t="s">
        <v>51</v>
      </c>
      <c r="E449" s="88">
        <v>3.0</v>
      </c>
      <c r="F449" s="89">
        <v>600.0</v>
      </c>
      <c r="G449" s="90" t="s">
        <v>53</v>
      </c>
      <c r="H449" s="91">
        <v>46174.0</v>
      </c>
      <c r="I449" s="92" t="s">
        <v>17</v>
      </c>
      <c r="J449" s="92" t="s">
        <v>54</v>
      </c>
      <c r="K449" s="92" t="s">
        <v>66</v>
      </c>
      <c r="L449" s="92" t="s">
        <v>67</v>
      </c>
      <c r="M449" s="90" t="s">
        <v>132</v>
      </c>
      <c r="N449" s="92" t="s">
        <v>5</v>
      </c>
      <c r="O449" s="87" t="s">
        <v>69</v>
      </c>
      <c r="P449" s="87"/>
      <c r="Q449" s="87" t="s">
        <v>1511</v>
      </c>
      <c r="R449" s="93" t="s">
        <v>71</v>
      </c>
      <c r="S449" s="87"/>
      <c r="T449" s="87"/>
      <c r="U449" s="94" t="str">
        <f t="array" ref="U449">IFERROR(INDEX(DFD!$D$2:$D$1048791,MATCH($Q449,DFD!$B$2:$B$1048791,0)),"")</f>
        <v/>
      </c>
      <c r="V449" s="94" t="str">
        <f t="array" ref="V449">IFERROR(INDEX(DFD!$F$2:$F$1048791,MATCH($Q449,DFD!$B$2:$B$1048791,0)),"")</f>
        <v/>
      </c>
      <c r="W449" s="97" t="str">
        <f t="array" ref="W449">IFERROR(INDEX(DFD!$E$2:$E$1048791,MATCH($Q449,DFD!$B$2:$B$1048791,0)),"")</f>
        <v/>
      </c>
      <c r="X449" s="97" t="str">
        <f t="array" ref="X449">IFERROR(INDEX(DFD!$K$2:$K$1048791,MATCH($Q449,DFD!$B$2:$B$1048791,0)),"")</f>
        <v/>
      </c>
      <c r="Y449" s="97" t="str">
        <f t="array" ref="Y449">IFERROR(INDEX(DFD!$L$2:$L$1048790,MATCH($Q449,DFD!$B$2:$B$1048790,0)),"")</f>
        <v/>
      </c>
      <c r="Z449" s="97">
        <f t="shared" si="13"/>
        <v>45</v>
      </c>
      <c r="AA449" s="87"/>
      <c r="AB449" s="87" t="s">
        <v>78</v>
      </c>
      <c r="AC449" s="87"/>
      <c r="AD449" s="99">
        <v>46043.0</v>
      </c>
      <c r="AE449" s="100">
        <f t="shared" si="8"/>
        <v>1</v>
      </c>
    </row>
    <row r="450" ht="15.75" customHeight="1">
      <c r="A450" s="59" t="s">
        <v>1532</v>
      </c>
      <c r="B450" s="59" t="s">
        <v>81</v>
      </c>
      <c r="C450" s="60" t="s">
        <v>1533</v>
      </c>
      <c r="D450" s="60" t="s">
        <v>51</v>
      </c>
      <c r="E450" s="60">
        <v>3.0</v>
      </c>
      <c r="F450" s="72">
        <v>600.0</v>
      </c>
      <c r="G450" s="73" t="s">
        <v>53</v>
      </c>
      <c r="H450" s="74">
        <v>46174.0</v>
      </c>
      <c r="I450" s="67" t="s">
        <v>17</v>
      </c>
      <c r="J450" s="67" t="s">
        <v>54</v>
      </c>
      <c r="K450" s="67" t="s">
        <v>66</v>
      </c>
      <c r="L450" s="67" t="s">
        <v>67</v>
      </c>
      <c r="M450" s="73" t="s">
        <v>112</v>
      </c>
      <c r="N450" s="67" t="s">
        <v>5</v>
      </c>
      <c r="O450" s="67" t="s">
        <v>89</v>
      </c>
      <c r="P450" s="59"/>
      <c r="Q450" s="59" t="s">
        <v>1511</v>
      </c>
      <c r="R450" s="76" t="s">
        <v>71</v>
      </c>
      <c r="S450" s="59"/>
      <c r="T450" s="59"/>
      <c r="U450" s="77" t="str">
        <f t="array" ref="U450">IFERROR(INDEX(DFD!$D$2:$D$1048791,MATCH($Q450,DFD!$B$2:$B$1048791,0)),"")</f>
        <v/>
      </c>
      <c r="V450" s="77" t="str">
        <f t="array" ref="V450">IFERROR(INDEX(DFD!$F$2:$F$1048791,MATCH($Q450,DFD!$B$2:$B$1048791,0)),"")</f>
        <v/>
      </c>
      <c r="W450" s="84" t="str">
        <f t="array" ref="W450">IFERROR(INDEX(DFD!$E$2:$E$1048791,MATCH($Q450,DFD!$B$2:$B$1048791,0)),"")</f>
        <v/>
      </c>
      <c r="X450" s="84" t="str">
        <f t="array" ref="X450">IFERROR(INDEX(DFD!$K$2:$K$1048791,MATCH($Q450,DFD!$B$2:$B$1048791,0)),"")</f>
        <v/>
      </c>
      <c r="Y450" s="84" t="str">
        <f t="array" ref="Y450">IFERROR(INDEX(DFD!$L$2:$L$1048790,MATCH($Q450,DFD!$B$2:$B$1048790,0)),"")</f>
        <v/>
      </c>
      <c r="Z450" s="84">
        <f t="shared" si="13"/>
        <v>45</v>
      </c>
      <c r="AA450" s="59"/>
      <c r="AB450" s="59" t="s">
        <v>78</v>
      </c>
      <c r="AC450" s="59"/>
      <c r="AD450" s="85">
        <v>46043.0</v>
      </c>
      <c r="AE450" s="86">
        <f t="shared" si="8"/>
        <v>1</v>
      </c>
    </row>
    <row r="451" ht="15.75" customHeight="1">
      <c r="A451" s="87" t="s">
        <v>1534</v>
      </c>
      <c r="B451" s="87" t="s">
        <v>91</v>
      </c>
      <c r="C451" s="88" t="s">
        <v>1535</v>
      </c>
      <c r="D451" s="88" t="s">
        <v>914</v>
      </c>
      <c r="E451" s="88">
        <v>10.0</v>
      </c>
      <c r="F451" s="89">
        <v>3000.0</v>
      </c>
      <c r="G451" s="90" t="s">
        <v>53</v>
      </c>
      <c r="H451" s="91">
        <v>46174.0</v>
      </c>
      <c r="I451" s="92" t="s">
        <v>17</v>
      </c>
      <c r="J451" s="92" t="s">
        <v>54</v>
      </c>
      <c r="K451" s="92" t="s">
        <v>66</v>
      </c>
      <c r="L451" s="92" t="s">
        <v>67</v>
      </c>
      <c r="M451" s="90" t="s">
        <v>167</v>
      </c>
      <c r="N451" s="92" t="s">
        <v>5</v>
      </c>
      <c r="O451" s="87" t="s">
        <v>69</v>
      </c>
      <c r="P451" s="87"/>
      <c r="Q451" s="87" t="s">
        <v>128</v>
      </c>
      <c r="R451" s="93" t="s">
        <v>71</v>
      </c>
      <c r="S451" s="87"/>
      <c r="T451" s="87"/>
      <c r="U451" s="94" t="str">
        <f t="array" ref="U451">IFERROR(INDEX(DFD!$D$2:$D$1048791,MATCH($Q451,DFD!$B$2:$B$1048791,0)),"")</f>
        <v/>
      </c>
      <c r="V451" s="94" t="str">
        <f t="array" ref="V451">IFERROR(INDEX(DFD!$F$2:$F$1048791,MATCH($Q451,DFD!$B$2:$B$1048791,0)),"")</f>
        <v/>
      </c>
      <c r="W451" s="97" t="str">
        <f t="array" ref="W451">IFERROR(INDEX(DFD!$E$2:$E$1048791,MATCH($Q451,DFD!$B$2:$B$1048791,0)),"")</f>
        <v/>
      </c>
      <c r="X451" s="97" t="str">
        <f t="array" ref="X451">IFERROR(INDEX(DFD!$K$2:$K$1048791,MATCH($Q451,DFD!$B$2:$B$1048791,0)),"")</f>
        <v/>
      </c>
      <c r="Y451" s="97" t="str">
        <f t="array" ref="Y451">IFERROR(INDEX(DFD!$L$2:$L$1048790,MATCH($Q451,DFD!$B$2:$B$1048790,0)),"")</f>
        <v/>
      </c>
      <c r="Z451" s="97">
        <f t="shared" si="13"/>
        <v>45</v>
      </c>
      <c r="AA451" s="87"/>
      <c r="AB451" s="87" t="s">
        <v>78</v>
      </c>
      <c r="AC451" s="87"/>
      <c r="AD451" s="99">
        <v>46043.0</v>
      </c>
      <c r="AE451" s="100">
        <f t="shared" si="8"/>
        <v>1</v>
      </c>
    </row>
    <row r="452" ht="15.75" customHeight="1">
      <c r="A452" s="59" t="s">
        <v>1536</v>
      </c>
      <c r="B452" s="59" t="s">
        <v>91</v>
      </c>
      <c r="C452" s="60" t="s">
        <v>1537</v>
      </c>
      <c r="D452" s="60" t="s">
        <v>51</v>
      </c>
      <c r="E452" s="60">
        <v>1.0</v>
      </c>
      <c r="F452" s="72">
        <v>5000.0</v>
      </c>
      <c r="G452" s="73" t="s">
        <v>53</v>
      </c>
      <c r="H452" s="74">
        <v>46204.0</v>
      </c>
      <c r="I452" s="67" t="s">
        <v>17</v>
      </c>
      <c r="J452" s="67" t="s">
        <v>54</v>
      </c>
      <c r="K452" s="67" t="s">
        <v>66</v>
      </c>
      <c r="L452" s="67" t="s">
        <v>67</v>
      </c>
      <c r="M452" s="73" t="s">
        <v>167</v>
      </c>
      <c r="N452" s="67" t="s">
        <v>5</v>
      </c>
      <c r="O452" s="59" t="s">
        <v>69</v>
      </c>
      <c r="P452" s="59"/>
      <c r="Q452" s="59" t="s">
        <v>1538</v>
      </c>
      <c r="R452" s="76" t="s">
        <v>71</v>
      </c>
      <c r="S452" s="59"/>
      <c r="T452" s="59"/>
      <c r="U452" s="77" t="str">
        <f t="array" ref="U452">IFERROR(INDEX(DFD!$D$2:$D$1048791,MATCH($Q452,DFD!$B$2:$B$1048791,0)),"")</f>
        <v/>
      </c>
      <c r="V452" s="77" t="str">
        <f t="array" ref="V452">IFERROR(INDEX(DFD!$F$2:$F$1048791,MATCH($Q452,DFD!$B$2:$B$1048791,0)),"")</f>
        <v/>
      </c>
      <c r="W452" s="84" t="str">
        <f t="array" ref="W452">IFERROR(INDEX(DFD!$E$2:$E$1048791,MATCH($Q452,DFD!$B$2:$B$1048791,0)),"")</f>
        <v/>
      </c>
      <c r="X452" s="84" t="str">
        <f t="array" ref="X452">IFERROR(INDEX(DFD!$K$2:$K$1048791,MATCH($Q452,DFD!$B$2:$B$1048791,0)),"")</f>
        <v/>
      </c>
      <c r="Y452" s="84" t="str">
        <f t="array" ref="Y452">IFERROR(INDEX(DFD!$L$2:$L$1048790,MATCH($Q452,DFD!$B$2:$B$1048790,0)),"")</f>
        <v/>
      </c>
      <c r="Z452" s="84">
        <f t="shared" si="13"/>
        <v>45</v>
      </c>
      <c r="AA452" s="59"/>
      <c r="AB452" s="59" t="s">
        <v>78</v>
      </c>
      <c r="AC452" s="59"/>
      <c r="AD452" s="85">
        <v>46043.0</v>
      </c>
      <c r="AE452" s="86">
        <f t="shared" si="8"/>
        <v>1</v>
      </c>
    </row>
    <row r="453" ht="15.75" customHeight="1">
      <c r="A453" s="87" t="s">
        <v>1539</v>
      </c>
      <c r="B453" s="87" t="s">
        <v>107</v>
      </c>
      <c r="C453" s="88" t="s">
        <v>1537</v>
      </c>
      <c r="D453" s="88" t="s">
        <v>51</v>
      </c>
      <c r="E453" s="88">
        <v>1.0</v>
      </c>
      <c r="F453" s="89">
        <v>5000.0</v>
      </c>
      <c r="G453" s="90" t="s">
        <v>53</v>
      </c>
      <c r="H453" s="91">
        <v>46204.0</v>
      </c>
      <c r="I453" s="92" t="s">
        <v>17</v>
      </c>
      <c r="J453" s="92" t="s">
        <v>54</v>
      </c>
      <c r="K453" s="92" t="s">
        <v>66</v>
      </c>
      <c r="L453" s="92" t="s">
        <v>67</v>
      </c>
      <c r="M453" s="90" t="s">
        <v>117</v>
      </c>
      <c r="N453" s="92" t="s">
        <v>5</v>
      </c>
      <c r="O453" s="92" t="s">
        <v>89</v>
      </c>
      <c r="P453" s="87"/>
      <c r="Q453" s="87" t="s">
        <v>1538</v>
      </c>
      <c r="R453" s="93" t="s">
        <v>71</v>
      </c>
      <c r="S453" s="87"/>
      <c r="T453" s="87"/>
      <c r="U453" s="94" t="str">
        <f t="array" ref="U453">IFERROR(INDEX(DFD!$D$2:$D$1048791,MATCH($Q453,DFD!$B$2:$B$1048791,0)),"")</f>
        <v/>
      </c>
      <c r="V453" s="94" t="str">
        <f t="array" ref="V453">IFERROR(INDEX(DFD!$F$2:$F$1048791,MATCH($Q453,DFD!$B$2:$B$1048791,0)),"")</f>
        <v/>
      </c>
      <c r="W453" s="97" t="str">
        <f t="array" ref="W453">IFERROR(INDEX(DFD!$E$2:$E$1048791,MATCH($Q453,DFD!$B$2:$B$1048791,0)),"")</f>
        <v/>
      </c>
      <c r="X453" s="97" t="str">
        <f t="array" ref="X453">IFERROR(INDEX(DFD!$K$2:$K$1048791,MATCH($Q453,DFD!$B$2:$B$1048791,0)),"")</f>
        <v/>
      </c>
      <c r="Y453" s="97" t="str">
        <f t="array" ref="Y453">IFERROR(INDEX(DFD!$L$2:$L$1048790,MATCH($Q453,DFD!$B$2:$B$1048790,0)),"")</f>
        <v/>
      </c>
      <c r="Z453" s="97">
        <f t="shared" si="13"/>
        <v>45</v>
      </c>
      <c r="AA453" s="87"/>
      <c r="AB453" s="87" t="s">
        <v>78</v>
      </c>
      <c r="AC453" s="87"/>
      <c r="AD453" s="99">
        <v>46043.0</v>
      </c>
      <c r="AE453" s="100">
        <f t="shared" si="8"/>
        <v>1</v>
      </c>
    </row>
    <row r="454" ht="15.75" customHeight="1">
      <c r="A454" s="67" t="s">
        <v>1540</v>
      </c>
      <c r="B454" s="59" t="s">
        <v>49</v>
      </c>
      <c r="C454" s="60" t="s">
        <v>1541</v>
      </c>
      <c r="D454" s="60" t="s">
        <v>51</v>
      </c>
      <c r="E454" s="60">
        <v>150.0</v>
      </c>
      <c r="F454" s="72">
        <v>100000.0</v>
      </c>
      <c r="G454" s="73" t="s">
        <v>53</v>
      </c>
      <c r="H454" s="74">
        <v>46266.0</v>
      </c>
      <c r="I454" s="67" t="s">
        <v>18</v>
      </c>
      <c r="J454" s="67" t="s">
        <v>54</v>
      </c>
      <c r="K454" s="67" t="s">
        <v>83</v>
      </c>
      <c r="L454" s="67" t="s">
        <v>56</v>
      </c>
      <c r="M454" s="73" t="s">
        <v>167</v>
      </c>
      <c r="N454" s="67" t="s">
        <v>20</v>
      </c>
      <c r="O454" s="59" t="s">
        <v>69</v>
      </c>
      <c r="P454" s="59"/>
      <c r="Q454" s="59" t="s">
        <v>377</v>
      </c>
      <c r="R454" s="76" t="s">
        <v>379</v>
      </c>
      <c r="S454" s="59"/>
      <c r="T454" s="59"/>
      <c r="U454" s="77" t="str">
        <f t="array" ref="U454">IFERROR(INDEX(DFD!$D$2:$D$1048791,MATCH($Q454,DFD!$B$2:$B$1048791,0)),"")</f>
        <v/>
      </c>
      <c r="V454" s="77" t="s">
        <v>62</v>
      </c>
      <c r="W454" s="84" t="str">
        <f t="array" ref="W454">IFERROR(INDEX(DFD!$E$2:$E$1048791,MATCH($Q454,DFD!$B$2:$B$1048791,0)),"")</f>
        <v/>
      </c>
      <c r="X454" s="84" t="str">
        <f t="array" ref="X454">IFERROR(INDEX(DFD!$K$2:$K$1048791,MATCH($Q454,DFD!$B$2:$B$1048791,0)),"")</f>
        <v/>
      </c>
      <c r="Y454" s="84" t="str">
        <f t="array" ref="Y454">IFERROR(INDEX(DFD!$L$2:$L$1048790,MATCH($Q454,DFD!$B$2:$B$1048790,0)),"")</f>
        <v/>
      </c>
      <c r="Z454" s="84">
        <f t="shared" si="13"/>
        <v>45</v>
      </c>
      <c r="AA454" s="59"/>
      <c r="AB454" s="59" t="s">
        <v>78</v>
      </c>
      <c r="AC454" s="59"/>
      <c r="AD454" s="85">
        <v>46043.0</v>
      </c>
      <c r="AE454" s="86">
        <f t="shared" si="8"/>
        <v>1</v>
      </c>
    </row>
    <row r="455" ht="15.75" customHeight="1">
      <c r="A455" s="87" t="s">
        <v>1542</v>
      </c>
      <c r="B455" s="92" t="s">
        <v>355</v>
      </c>
      <c r="C455" s="88" t="s">
        <v>1543</v>
      </c>
      <c r="D455" s="116" t="s">
        <v>51</v>
      </c>
      <c r="E455" s="116">
        <v>180.0</v>
      </c>
      <c r="F455" s="137">
        <v>185849.9</v>
      </c>
      <c r="G455" s="90" t="s">
        <v>53</v>
      </c>
      <c r="H455" s="91">
        <v>46266.0</v>
      </c>
      <c r="I455" s="92" t="s">
        <v>17</v>
      </c>
      <c r="J455" s="92" t="s">
        <v>54</v>
      </c>
      <c r="K455" s="92" t="s">
        <v>372</v>
      </c>
      <c r="L455" s="92" t="s">
        <v>67</v>
      </c>
      <c r="M455" s="90" t="s">
        <v>132</v>
      </c>
      <c r="N455" s="92" t="s">
        <v>58</v>
      </c>
      <c r="O455" s="87" t="s">
        <v>69</v>
      </c>
      <c r="P455" s="87"/>
      <c r="Q455" s="87" t="s">
        <v>52</v>
      </c>
      <c r="R455" s="93" t="s">
        <v>71</v>
      </c>
      <c r="S455" s="87"/>
      <c r="T455" s="87"/>
      <c r="U455" s="87" t="s">
        <v>1544</v>
      </c>
      <c r="V455" s="94" t="str">
        <f t="array" ref="V455">IFERROR(INDEX(DFD!$F$2:$F$1048791,MATCH($Q455,DFD!$B$2:$B$1048791,0)),"")</f>
        <v/>
      </c>
      <c r="W455" s="97" t="str">
        <f t="array" ref="W455">IFERROR(INDEX(DFD!$E$2:$E$1048791,MATCH($Q455,DFD!$B$2:$B$1048791,0)),"")</f>
        <v/>
      </c>
      <c r="X455" s="97" t="str">
        <f t="array" ref="X455">IFERROR(INDEX(DFD!$K$2:$K$1048791,MATCH($Q455,DFD!$B$2:$B$1048791,0)),"")</f>
        <v/>
      </c>
      <c r="Y455" s="97" t="str">
        <f t="array" ref="Y455">IFERROR(INDEX(DFD!$L$2:$L$1048790,MATCH($Q455,DFD!$B$2:$B$1048790,0)),"")</f>
        <v/>
      </c>
      <c r="Z455" s="97">
        <f t="shared" si="13"/>
        <v>45</v>
      </c>
      <c r="AA455" s="87"/>
      <c r="AB455" s="87" t="s">
        <v>78</v>
      </c>
      <c r="AC455" s="87"/>
      <c r="AD455" s="99">
        <v>46043.0</v>
      </c>
      <c r="AE455" s="100">
        <f t="shared" si="8"/>
        <v>1</v>
      </c>
    </row>
    <row r="456" ht="15.75" customHeight="1">
      <c r="A456" s="59" t="s">
        <v>1545</v>
      </c>
      <c r="B456" s="59" t="s">
        <v>101</v>
      </c>
      <c r="C456" s="60" t="s">
        <v>1546</v>
      </c>
      <c r="D456" s="60" t="s">
        <v>51</v>
      </c>
      <c r="E456" s="60">
        <v>4.0</v>
      </c>
      <c r="F456" s="72">
        <v>3168.0</v>
      </c>
      <c r="G456" s="73" t="s">
        <v>53</v>
      </c>
      <c r="H456" s="74">
        <v>46174.0</v>
      </c>
      <c r="I456" s="67" t="s">
        <v>17</v>
      </c>
      <c r="J456" s="67" t="s">
        <v>54</v>
      </c>
      <c r="K456" s="67" t="s">
        <v>66</v>
      </c>
      <c r="L456" s="67" t="s">
        <v>56</v>
      </c>
      <c r="M456" s="73" t="s">
        <v>68</v>
      </c>
      <c r="N456" s="67" t="s">
        <v>58</v>
      </c>
      <c r="O456" s="67" t="s">
        <v>89</v>
      </c>
      <c r="P456" s="59"/>
      <c r="Q456" s="59" t="s">
        <v>1547</v>
      </c>
      <c r="R456" s="76" t="s">
        <v>71</v>
      </c>
      <c r="S456" s="59"/>
      <c r="T456" s="59"/>
      <c r="U456" s="77" t="str">
        <f t="array" ref="U456">IFERROR(INDEX(DFD!$D$2:$D$1048791,MATCH($Q456,DFD!$B$2:$B$1048791,0)),"")</f>
        <v/>
      </c>
      <c r="V456" s="77" t="str">
        <f t="array" ref="V456">IFERROR(INDEX(DFD!$F$2:$F$1048791,MATCH($Q456,DFD!$B$2:$B$1048791,0)),"")</f>
        <v/>
      </c>
      <c r="W456" s="84" t="str">
        <f t="array" ref="W456">IFERROR(INDEX(DFD!$E$2:$E$1048791,MATCH($Q456,DFD!$B$2:$B$1048791,0)),"")</f>
        <v/>
      </c>
      <c r="X456" s="84" t="str">
        <f t="array" ref="X456">IFERROR(INDEX(DFD!$K$2:$K$1048791,MATCH($Q456,DFD!$B$2:$B$1048791,0)),"")</f>
        <v/>
      </c>
      <c r="Y456" s="84" t="str">
        <f t="array" ref="Y456">IFERROR(INDEX(DFD!$L$2:$L$1048790,MATCH($Q456,DFD!$B$2:$B$1048790,0)),"")</f>
        <v/>
      </c>
      <c r="Z456" s="84">
        <f t="shared" si="13"/>
        <v>45</v>
      </c>
      <c r="AA456" s="59"/>
      <c r="AB456" s="59" t="s">
        <v>78</v>
      </c>
      <c r="AC456" s="59"/>
      <c r="AD456" s="85">
        <v>46043.0</v>
      </c>
      <c r="AE456" s="86">
        <f t="shared" si="8"/>
        <v>1</v>
      </c>
    </row>
    <row r="457" ht="15.75" customHeight="1">
      <c r="A457" s="92" t="s">
        <v>1548</v>
      </c>
      <c r="B457" s="87" t="s">
        <v>172</v>
      </c>
      <c r="C457" s="88" t="s">
        <v>1546</v>
      </c>
      <c r="D457" s="88" t="s">
        <v>51</v>
      </c>
      <c r="E457" s="88">
        <v>1.0</v>
      </c>
      <c r="F457" s="89">
        <v>792.0</v>
      </c>
      <c r="G457" s="90" t="s">
        <v>53</v>
      </c>
      <c r="H457" s="91">
        <v>46174.0</v>
      </c>
      <c r="I457" s="92" t="s">
        <v>17</v>
      </c>
      <c r="J457" s="92" t="s">
        <v>54</v>
      </c>
      <c r="K457" s="92" t="s">
        <v>66</v>
      </c>
      <c r="L457" s="92" t="s">
        <v>56</v>
      </c>
      <c r="M457" s="90" t="s">
        <v>104</v>
      </c>
      <c r="N457" s="92" t="s">
        <v>20</v>
      </c>
      <c r="O457" s="87" t="s">
        <v>69</v>
      </c>
      <c r="P457" s="87"/>
      <c r="Q457" s="87" t="s">
        <v>1547</v>
      </c>
      <c r="R457" s="93" t="s">
        <v>71</v>
      </c>
      <c r="S457" s="87"/>
      <c r="T457" s="87"/>
      <c r="U457" s="94" t="str">
        <f t="array" ref="U457">IFERROR(INDEX(DFD!$D$2:$D$1048791,MATCH($Q457,DFD!$B$2:$B$1048791,0)),"")</f>
        <v/>
      </c>
      <c r="V457" s="94" t="str">
        <f t="array" ref="V457">IFERROR(INDEX(DFD!$F$2:$F$1048791,MATCH($Q457,DFD!$B$2:$B$1048791,0)),"")</f>
        <v/>
      </c>
      <c r="W457" s="97" t="str">
        <f t="array" ref="W457">IFERROR(INDEX(DFD!$E$2:$E$1048791,MATCH($Q457,DFD!$B$2:$B$1048791,0)),"")</f>
        <v/>
      </c>
      <c r="X457" s="97" t="str">
        <f t="array" ref="X457">IFERROR(INDEX(DFD!$K$2:$K$1048791,MATCH($Q457,DFD!$B$2:$B$1048791,0)),"")</f>
        <v/>
      </c>
      <c r="Y457" s="97" t="str">
        <f t="array" ref="Y457">IFERROR(INDEX(DFD!$L$2:$L$1048790,MATCH($Q457,DFD!$B$2:$B$1048790,0)),"")</f>
        <v/>
      </c>
      <c r="Z457" s="97">
        <f t="shared" si="13"/>
        <v>45</v>
      </c>
      <c r="AA457" s="87"/>
      <c r="AB457" s="87" t="s">
        <v>78</v>
      </c>
      <c r="AC457" s="87"/>
      <c r="AD457" s="99">
        <v>46043.0</v>
      </c>
      <c r="AE457" s="100">
        <f t="shared" si="8"/>
        <v>1</v>
      </c>
    </row>
    <row r="458" ht="15.75" customHeight="1">
      <c r="A458" s="67" t="s">
        <v>1549</v>
      </c>
      <c r="B458" s="59" t="s">
        <v>80</v>
      </c>
      <c r="C458" s="60" t="s">
        <v>1546</v>
      </c>
      <c r="D458" s="60" t="s">
        <v>51</v>
      </c>
      <c r="E458" s="60">
        <v>1.0</v>
      </c>
      <c r="F458" s="72">
        <v>792.0</v>
      </c>
      <c r="G458" s="73" t="s">
        <v>53</v>
      </c>
      <c r="H458" s="74">
        <v>46174.0</v>
      </c>
      <c r="I458" s="67" t="s">
        <v>17</v>
      </c>
      <c r="J458" s="67" t="s">
        <v>54</v>
      </c>
      <c r="K458" s="67" t="s">
        <v>66</v>
      </c>
      <c r="L458" s="67" t="s">
        <v>56</v>
      </c>
      <c r="M458" s="73" t="s">
        <v>104</v>
      </c>
      <c r="N458" s="67" t="s">
        <v>20</v>
      </c>
      <c r="O458" s="59" t="s">
        <v>69</v>
      </c>
      <c r="P458" s="59"/>
      <c r="Q458" s="59" t="s">
        <v>1547</v>
      </c>
      <c r="R458" s="76" t="s">
        <v>71</v>
      </c>
      <c r="S458" s="59"/>
      <c r="T458" s="59"/>
      <c r="U458" s="77" t="str">
        <f t="array" ref="U458">IFERROR(INDEX(DFD!$D$2:$D$1048791,MATCH($Q458,DFD!$B$2:$B$1048791,0)),"")</f>
        <v/>
      </c>
      <c r="V458" s="77" t="str">
        <f t="array" ref="V458">IFERROR(INDEX(DFD!$F$2:$F$1048791,MATCH($Q458,DFD!$B$2:$B$1048791,0)),"")</f>
        <v/>
      </c>
      <c r="W458" s="84" t="str">
        <f t="array" ref="W458">IFERROR(INDEX(DFD!$E$2:$E$1048791,MATCH($Q458,DFD!$B$2:$B$1048791,0)),"")</f>
        <v/>
      </c>
      <c r="X458" s="84" t="str">
        <f t="array" ref="X458">IFERROR(INDEX(DFD!$K$2:$K$1048791,MATCH($Q458,DFD!$B$2:$B$1048791,0)),"")</f>
        <v/>
      </c>
      <c r="Y458" s="84" t="str">
        <f t="array" ref="Y458">IFERROR(INDEX(DFD!$L$2:$L$1048790,MATCH($Q458,DFD!$B$2:$B$1048790,0)),"")</f>
        <v/>
      </c>
      <c r="Z458" s="84">
        <f t="shared" si="13"/>
        <v>45</v>
      </c>
      <c r="AA458" s="59"/>
      <c r="AB458" s="59" t="s">
        <v>78</v>
      </c>
      <c r="AC458" s="59"/>
      <c r="AD458" s="85">
        <v>46043.0</v>
      </c>
      <c r="AE458" s="86">
        <f t="shared" si="8"/>
        <v>1</v>
      </c>
    </row>
    <row r="459" ht="15.75" customHeight="1">
      <c r="A459" s="92" t="s">
        <v>1550</v>
      </c>
      <c r="B459" s="87" t="s">
        <v>123</v>
      </c>
      <c r="C459" s="88" t="s">
        <v>1546</v>
      </c>
      <c r="D459" s="88" t="s">
        <v>51</v>
      </c>
      <c r="E459" s="88">
        <v>1.0</v>
      </c>
      <c r="F459" s="89">
        <v>792.0</v>
      </c>
      <c r="G459" s="90" t="s">
        <v>53</v>
      </c>
      <c r="H459" s="91">
        <v>46174.0</v>
      </c>
      <c r="I459" s="92" t="s">
        <v>17</v>
      </c>
      <c r="J459" s="92" t="s">
        <v>54</v>
      </c>
      <c r="K459" s="92" t="s">
        <v>66</v>
      </c>
      <c r="L459" s="92" t="s">
        <v>56</v>
      </c>
      <c r="M459" s="90" t="s">
        <v>104</v>
      </c>
      <c r="N459" s="92" t="s">
        <v>20</v>
      </c>
      <c r="O459" s="92" t="s">
        <v>89</v>
      </c>
      <c r="P459" s="87"/>
      <c r="Q459" s="87" t="s">
        <v>1547</v>
      </c>
      <c r="R459" s="93" t="s">
        <v>71</v>
      </c>
      <c r="S459" s="87"/>
      <c r="T459" s="87"/>
      <c r="U459" s="94" t="str">
        <f t="array" ref="U459">IFERROR(INDEX(DFD!$D$2:$D$1048791,MATCH($Q459,DFD!$B$2:$B$1048791,0)),"")</f>
        <v/>
      </c>
      <c r="V459" s="94" t="str">
        <f t="array" ref="V459">IFERROR(INDEX(DFD!$F$2:$F$1048791,MATCH($Q459,DFD!$B$2:$B$1048791,0)),"")</f>
        <v/>
      </c>
      <c r="W459" s="97" t="str">
        <f t="array" ref="W459">IFERROR(INDEX(DFD!$E$2:$E$1048791,MATCH($Q459,DFD!$B$2:$B$1048791,0)),"")</f>
        <v/>
      </c>
      <c r="X459" s="97" t="str">
        <f t="array" ref="X459">IFERROR(INDEX(DFD!$K$2:$K$1048791,MATCH($Q459,DFD!$B$2:$B$1048791,0)),"")</f>
        <v/>
      </c>
      <c r="Y459" s="97" t="str">
        <f t="array" ref="Y459">IFERROR(INDEX(DFD!$L$2:$L$1048790,MATCH($Q459,DFD!$B$2:$B$1048790,0)),"")</f>
        <v/>
      </c>
      <c r="Z459" s="97">
        <f t="shared" si="13"/>
        <v>45</v>
      </c>
      <c r="AA459" s="87"/>
      <c r="AB459" s="87" t="s">
        <v>78</v>
      </c>
      <c r="AC459" s="87"/>
      <c r="AD459" s="99">
        <v>46043.0</v>
      </c>
      <c r="AE459" s="100">
        <f t="shared" si="8"/>
        <v>1</v>
      </c>
    </row>
    <row r="460" ht="15.75" customHeight="1">
      <c r="A460" s="67" t="s">
        <v>1551</v>
      </c>
      <c r="B460" s="59" t="s">
        <v>155</v>
      </c>
      <c r="C460" s="60" t="s">
        <v>1552</v>
      </c>
      <c r="D460" s="60" t="s">
        <v>51</v>
      </c>
      <c r="E460" s="60">
        <v>1.0</v>
      </c>
      <c r="F460" s="72">
        <v>500.0</v>
      </c>
      <c r="G460" s="73" t="s">
        <v>53</v>
      </c>
      <c r="H460" s="74">
        <v>46174.0</v>
      </c>
      <c r="I460" s="67" t="s">
        <v>17</v>
      </c>
      <c r="J460" s="67" t="s">
        <v>54</v>
      </c>
      <c r="K460" s="67" t="s">
        <v>66</v>
      </c>
      <c r="L460" s="67" t="s">
        <v>56</v>
      </c>
      <c r="M460" s="73" t="s">
        <v>104</v>
      </c>
      <c r="N460" s="67" t="s">
        <v>20</v>
      </c>
      <c r="O460" s="59" t="s">
        <v>69</v>
      </c>
      <c r="P460" s="59"/>
      <c r="Q460" s="59" t="s">
        <v>1547</v>
      </c>
      <c r="R460" s="76" t="s">
        <v>71</v>
      </c>
      <c r="S460" s="59"/>
      <c r="T460" s="59"/>
      <c r="U460" s="77" t="str">
        <f t="array" ref="U460">IFERROR(INDEX(DFD!$D$2:$D$1048791,MATCH($Q460,DFD!$B$2:$B$1048791,0)),"")</f>
        <v/>
      </c>
      <c r="V460" s="77" t="str">
        <f t="array" ref="V460">IFERROR(INDEX(DFD!$F$2:$F$1048791,MATCH($Q460,DFD!$B$2:$B$1048791,0)),"")</f>
        <v/>
      </c>
      <c r="W460" s="84" t="str">
        <f t="array" ref="W460">IFERROR(INDEX(DFD!$E$2:$E$1048791,MATCH($Q460,DFD!$B$2:$B$1048791,0)),"")</f>
        <v/>
      </c>
      <c r="X460" s="84" t="str">
        <f t="array" ref="X460">IFERROR(INDEX(DFD!$K$2:$K$1048791,MATCH($Q460,DFD!$B$2:$B$1048791,0)),"")</f>
        <v/>
      </c>
      <c r="Y460" s="84" t="str">
        <f t="array" ref="Y460">IFERROR(INDEX(DFD!$L$2:$L$1048790,MATCH($Q460,DFD!$B$2:$B$1048790,0)),"")</f>
        <v/>
      </c>
      <c r="Z460" s="84">
        <f t="shared" si="13"/>
        <v>45</v>
      </c>
      <c r="AA460" s="59"/>
      <c r="AB460" s="59" t="s">
        <v>78</v>
      </c>
      <c r="AC460" s="59"/>
      <c r="AD460" s="85">
        <v>46043.0</v>
      </c>
      <c r="AE460" s="86">
        <f t="shared" si="8"/>
        <v>1</v>
      </c>
    </row>
    <row r="461" ht="15.75" customHeight="1">
      <c r="A461" s="92" t="s">
        <v>1553</v>
      </c>
      <c r="B461" s="87" t="s">
        <v>155</v>
      </c>
      <c r="C461" s="88" t="s">
        <v>1554</v>
      </c>
      <c r="D461" s="88" t="s">
        <v>51</v>
      </c>
      <c r="E461" s="88">
        <v>1.0</v>
      </c>
      <c r="F461" s="89">
        <v>500.0</v>
      </c>
      <c r="G461" s="90" t="s">
        <v>53</v>
      </c>
      <c r="H461" s="91">
        <v>46174.0</v>
      </c>
      <c r="I461" s="92" t="s">
        <v>17</v>
      </c>
      <c r="J461" s="92" t="s">
        <v>54</v>
      </c>
      <c r="K461" s="92" t="s">
        <v>66</v>
      </c>
      <c r="L461" s="92" t="s">
        <v>56</v>
      </c>
      <c r="M461" s="90" t="s">
        <v>104</v>
      </c>
      <c r="N461" s="92" t="s">
        <v>20</v>
      </c>
      <c r="O461" s="87" t="s">
        <v>69</v>
      </c>
      <c r="P461" s="87"/>
      <c r="Q461" s="87" t="s">
        <v>1547</v>
      </c>
      <c r="R461" s="93" t="s">
        <v>71</v>
      </c>
      <c r="S461" s="87"/>
      <c r="T461" s="87"/>
      <c r="U461" s="94" t="str">
        <f t="array" ref="U461">IFERROR(INDEX(DFD!$D$2:$D$1048791,MATCH($Q461,DFD!$B$2:$B$1048791,0)),"")</f>
        <v/>
      </c>
      <c r="V461" s="94" t="str">
        <f t="array" ref="V461">IFERROR(INDEX(DFD!$F$2:$F$1048791,MATCH($Q461,DFD!$B$2:$B$1048791,0)),"")</f>
        <v/>
      </c>
      <c r="W461" s="97" t="str">
        <f t="array" ref="W461">IFERROR(INDEX(DFD!$E$2:$E$1048791,MATCH($Q461,DFD!$B$2:$B$1048791,0)),"")</f>
        <v/>
      </c>
      <c r="X461" s="97" t="str">
        <f t="array" ref="X461">IFERROR(INDEX(DFD!$K$2:$K$1048791,MATCH($Q461,DFD!$B$2:$B$1048791,0)),"")</f>
        <v/>
      </c>
      <c r="Y461" s="97" t="str">
        <f t="array" ref="Y461">IFERROR(INDEX(DFD!$L$2:$L$1048790,MATCH($Q461,DFD!$B$2:$B$1048790,0)),"")</f>
        <v/>
      </c>
      <c r="Z461" s="97">
        <f t="shared" si="13"/>
        <v>45</v>
      </c>
      <c r="AA461" s="87"/>
      <c r="AB461" s="87" t="s">
        <v>78</v>
      </c>
      <c r="AC461" s="87"/>
      <c r="AD461" s="99">
        <v>46043.0</v>
      </c>
      <c r="AE461" s="100">
        <f t="shared" si="8"/>
        <v>1</v>
      </c>
    </row>
    <row r="462" ht="15.75" customHeight="1">
      <c r="A462" s="59" t="s">
        <v>1555</v>
      </c>
      <c r="B462" s="71" t="s">
        <v>80</v>
      </c>
      <c r="C462" s="60" t="s">
        <v>1096</v>
      </c>
      <c r="D462" s="60" t="s">
        <v>51</v>
      </c>
      <c r="E462" s="60">
        <v>3.0</v>
      </c>
      <c r="F462" s="72">
        <v>6000.0</v>
      </c>
      <c r="G462" s="73" t="s">
        <v>53</v>
      </c>
      <c r="H462" s="74">
        <v>46204.0</v>
      </c>
      <c r="I462" s="67" t="s">
        <v>17</v>
      </c>
      <c r="J462" s="67" t="s">
        <v>54</v>
      </c>
      <c r="K462" s="67" t="s">
        <v>66</v>
      </c>
      <c r="L462" s="67" t="s">
        <v>67</v>
      </c>
      <c r="M462" s="73" t="s">
        <v>68</v>
      </c>
      <c r="N462" s="67" t="s">
        <v>5</v>
      </c>
      <c r="O462" s="67" t="s">
        <v>89</v>
      </c>
      <c r="P462" s="59"/>
      <c r="Q462" s="59" t="s">
        <v>1547</v>
      </c>
      <c r="R462" s="76" t="s">
        <v>71</v>
      </c>
      <c r="S462" s="59"/>
      <c r="T462" s="59"/>
      <c r="U462" s="77" t="str">
        <f t="array" ref="U462">IFERROR(INDEX(DFD!$D$2:$D$1048791,MATCH($Q462,DFD!$B$2:$B$1048791,0)),"")</f>
        <v/>
      </c>
      <c r="V462" s="77" t="str">
        <f t="array" ref="V462">IFERROR(INDEX(DFD!$F$2:$F$1048791,MATCH($Q462,DFD!$B$2:$B$1048791,0)),"")</f>
        <v/>
      </c>
      <c r="W462" s="84" t="str">
        <f t="array" ref="W462">IFERROR(INDEX(DFD!$E$2:$E$1048791,MATCH($Q462,DFD!$B$2:$B$1048791,0)),"")</f>
        <v/>
      </c>
      <c r="X462" s="84" t="str">
        <f t="array" ref="X462">IFERROR(INDEX(DFD!$K$2:$K$1048791,MATCH($Q462,DFD!$B$2:$B$1048791,0)),"")</f>
        <v/>
      </c>
      <c r="Y462" s="84" t="str">
        <f t="array" ref="Y462">IFERROR(INDEX(DFD!$L$2:$L$1048790,MATCH($Q462,DFD!$B$2:$B$1048790,0)),"")</f>
        <v/>
      </c>
      <c r="Z462" s="84">
        <f t="shared" si="13"/>
        <v>45</v>
      </c>
      <c r="AA462" s="59"/>
      <c r="AB462" s="59" t="s">
        <v>78</v>
      </c>
      <c r="AC462" s="59"/>
      <c r="AD462" s="85">
        <v>46043.0</v>
      </c>
      <c r="AE462" s="86">
        <f t="shared" si="8"/>
        <v>1</v>
      </c>
    </row>
    <row r="463" ht="15.75" customHeight="1">
      <c r="A463" s="87" t="s">
        <v>1556</v>
      </c>
      <c r="B463" s="87" t="s">
        <v>172</v>
      </c>
      <c r="C463" s="88" t="s">
        <v>1096</v>
      </c>
      <c r="D463" s="88" t="s">
        <v>51</v>
      </c>
      <c r="E463" s="88">
        <v>1.0</v>
      </c>
      <c r="F463" s="89">
        <v>2000.0</v>
      </c>
      <c r="G463" s="90" t="s">
        <v>53</v>
      </c>
      <c r="H463" s="91">
        <v>46174.0</v>
      </c>
      <c r="I463" s="92" t="s">
        <v>17</v>
      </c>
      <c r="J463" s="92" t="s">
        <v>54</v>
      </c>
      <c r="K463" s="92" t="s">
        <v>66</v>
      </c>
      <c r="L463" s="92" t="s">
        <v>67</v>
      </c>
      <c r="M463" s="90" t="s">
        <v>117</v>
      </c>
      <c r="N463" s="92" t="s">
        <v>5</v>
      </c>
      <c r="O463" s="87" t="s">
        <v>69</v>
      </c>
      <c r="P463" s="87"/>
      <c r="Q463" s="87" t="s">
        <v>1547</v>
      </c>
      <c r="R463" s="93" t="s">
        <v>71</v>
      </c>
      <c r="S463" s="87"/>
      <c r="T463" s="87"/>
      <c r="U463" s="94" t="str">
        <f t="array" ref="U463">IFERROR(INDEX(DFD!$D$2:$D$1048791,MATCH($Q463,DFD!$B$2:$B$1048791,0)),"")</f>
        <v/>
      </c>
      <c r="V463" s="94" t="str">
        <f t="array" ref="V463">IFERROR(INDEX(DFD!$F$2:$F$1048791,MATCH($Q463,DFD!$B$2:$B$1048791,0)),"")</f>
        <v/>
      </c>
      <c r="W463" s="97" t="str">
        <f t="array" ref="W463">IFERROR(INDEX(DFD!$E$2:$E$1048791,MATCH($Q463,DFD!$B$2:$B$1048791,0)),"")</f>
        <v/>
      </c>
      <c r="X463" s="97" t="str">
        <f t="array" ref="X463">IFERROR(INDEX(DFD!$K$2:$K$1048791,MATCH($Q463,DFD!$B$2:$B$1048791,0)),"")</f>
        <v/>
      </c>
      <c r="Y463" s="97" t="str">
        <f t="array" ref="Y463">IFERROR(INDEX(DFD!$L$2:$L$1048790,MATCH($Q463,DFD!$B$2:$B$1048790,0)),"")</f>
        <v/>
      </c>
      <c r="Z463" s="97">
        <f t="shared" si="13"/>
        <v>45</v>
      </c>
      <c r="AA463" s="87"/>
      <c r="AB463" s="87" t="s">
        <v>78</v>
      </c>
      <c r="AC463" s="87"/>
      <c r="AD463" s="99">
        <v>46043.0</v>
      </c>
      <c r="AE463" s="100">
        <f t="shared" si="8"/>
        <v>1</v>
      </c>
    </row>
    <row r="464" ht="15.75" customHeight="1">
      <c r="A464" s="59" t="s">
        <v>1557</v>
      </c>
      <c r="B464" s="59" t="s">
        <v>602</v>
      </c>
      <c r="C464" s="60" t="s">
        <v>1558</v>
      </c>
      <c r="D464" s="60" t="s">
        <v>51</v>
      </c>
      <c r="E464" s="60">
        <v>2.0</v>
      </c>
      <c r="F464" s="72">
        <v>200.0</v>
      </c>
      <c r="G464" s="73" t="s">
        <v>53</v>
      </c>
      <c r="H464" s="74">
        <v>46143.0</v>
      </c>
      <c r="I464" s="67" t="s">
        <v>17</v>
      </c>
      <c r="J464" s="67" t="s">
        <v>54</v>
      </c>
      <c r="K464" s="67" t="s">
        <v>66</v>
      </c>
      <c r="L464" s="67" t="s">
        <v>67</v>
      </c>
      <c r="M464" s="73" t="s">
        <v>167</v>
      </c>
      <c r="N464" s="67" t="s">
        <v>58</v>
      </c>
      <c r="O464" s="59" t="s">
        <v>69</v>
      </c>
      <c r="P464" s="59"/>
      <c r="Q464" s="59" t="s">
        <v>756</v>
      </c>
      <c r="R464" s="76" t="s">
        <v>187</v>
      </c>
      <c r="S464" s="59"/>
      <c r="T464" s="59"/>
      <c r="U464" s="77" t="s">
        <v>668</v>
      </c>
      <c r="V464" s="77" t="str">
        <f t="array" ref="V464">IFERROR(INDEX(DFD!$F$2:$F$1048791,MATCH($Q464,DFD!$B$2:$B$1048791,0)),"")</f>
        <v/>
      </c>
      <c r="W464" s="84" t="str">
        <f t="array" ref="W464">IFERROR(INDEX(DFD!$E$2:$E$1048791,MATCH($Q464,DFD!$B$2:$B$1048791,0)),"")</f>
        <v/>
      </c>
      <c r="X464" s="84" t="str">
        <f t="array" ref="X464">IFERROR(INDEX(DFD!$K$2:$K$1048791,MATCH($Q464,DFD!$B$2:$B$1048791,0)),"")</f>
        <v/>
      </c>
      <c r="Y464" s="84" t="str">
        <f t="array" ref="Y464">IFERROR(INDEX(DFD!$L$2:$L$1048790,MATCH($Q464,DFD!$B$2:$B$1048790,0)),"")</f>
        <v/>
      </c>
      <c r="Z464" s="84">
        <f t="shared" si="13"/>
        <v>45</v>
      </c>
      <c r="AA464" s="59"/>
      <c r="AB464" s="59" t="s">
        <v>78</v>
      </c>
      <c r="AC464" s="59"/>
      <c r="AD464" s="85">
        <v>46043.0</v>
      </c>
      <c r="AE464" s="86">
        <f t="shared" si="8"/>
        <v>1</v>
      </c>
    </row>
    <row r="465" ht="15.75" customHeight="1">
      <c r="A465" s="92" t="s">
        <v>1559</v>
      </c>
      <c r="B465" s="87" t="s">
        <v>184</v>
      </c>
      <c r="C465" s="88" t="s">
        <v>1560</v>
      </c>
      <c r="D465" s="88" t="s">
        <v>51</v>
      </c>
      <c r="E465" s="88">
        <v>30.0</v>
      </c>
      <c r="F465" s="89">
        <v>540.0</v>
      </c>
      <c r="G465" s="90" t="s">
        <v>53</v>
      </c>
      <c r="H465" s="91">
        <v>46174.0</v>
      </c>
      <c r="I465" s="92" t="s">
        <v>17</v>
      </c>
      <c r="J465" s="92" t="s">
        <v>54</v>
      </c>
      <c r="K465" s="92" t="s">
        <v>66</v>
      </c>
      <c r="L465" s="92" t="s">
        <v>67</v>
      </c>
      <c r="M465" s="90" t="s">
        <v>132</v>
      </c>
      <c r="N465" s="92" t="s">
        <v>20</v>
      </c>
      <c r="O465" s="92" t="s">
        <v>89</v>
      </c>
      <c r="P465" s="87"/>
      <c r="Q465" s="87" t="s">
        <v>1399</v>
      </c>
      <c r="R465" s="93" t="s">
        <v>187</v>
      </c>
      <c r="S465" s="87"/>
      <c r="T465" s="87"/>
      <c r="U465" s="94" t="str">
        <f t="array" ref="U465">IFERROR(INDEX(DFD!$D$2:$D$1048791,MATCH($Q465,DFD!$B$2:$B$1048791,0)),"")</f>
        <v/>
      </c>
      <c r="V465" s="94" t="str">
        <f t="array" ref="V465">IFERROR(INDEX(DFD!$F$2:$F$1048791,MATCH($Q465,DFD!$B$2:$B$1048791,0)),"")</f>
        <v/>
      </c>
      <c r="W465" s="97" t="str">
        <f t="array" ref="W465">IFERROR(INDEX(DFD!$E$2:$E$1048791,MATCH($Q465,DFD!$B$2:$B$1048791,0)),"")</f>
        <v/>
      </c>
      <c r="X465" s="97" t="str">
        <f t="array" ref="X465">IFERROR(INDEX(DFD!$K$2:$K$1048791,MATCH($Q465,DFD!$B$2:$B$1048791,0)),"")</f>
        <v/>
      </c>
      <c r="Y465" s="97" t="str">
        <f t="array" ref="Y465">IFERROR(INDEX(DFD!$L$2:$L$1048790,MATCH($Q465,DFD!$B$2:$B$1048790,0)),"")</f>
        <v/>
      </c>
      <c r="Z465" s="97">
        <f t="shared" si="13"/>
        <v>45</v>
      </c>
      <c r="AA465" s="87"/>
      <c r="AB465" s="87" t="s">
        <v>78</v>
      </c>
      <c r="AC465" s="87"/>
      <c r="AD465" s="99">
        <v>46043.0</v>
      </c>
      <c r="AE465" s="100">
        <f t="shared" si="8"/>
        <v>1</v>
      </c>
    </row>
    <row r="466" ht="15.75" customHeight="1">
      <c r="A466" s="67" t="s">
        <v>1561</v>
      </c>
      <c r="B466" s="59" t="s">
        <v>1562</v>
      </c>
      <c r="C466" s="81" t="s">
        <v>1563</v>
      </c>
      <c r="D466" s="60" t="s">
        <v>51</v>
      </c>
      <c r="E466" s="60">
        <v>13.0</v>
      </c>
      <c r="F466" s="72">
        <v>80000.0</v>
      </c>
      <c r="G466" s="73" t="s">
        <v>53</v>
      </c>
      <c r="H466" s="74">
        <v>46266.0</v>
      </c>
      <c r="I466" s="67" t="s">
        <v>17</v>
      </c>
      <c r="J466" s="67" t="s">
        <v>54</v>
      </c>
      <c r="K466" s="67" t="s">
        <v>55</v>
      </c>
      <c r="L466" s="67" t="s">
        <v>56</v>
      </c>
      <c r="M466" s="73" t="s">
        <v>1564</v>
      </c>
      <c r="N466" s="67" t="s">
        <v>20</v>
      </c>
      <c r="O466" s="59" t="s">
        <v>69</v>
      </c>
      <c r="P466" s="59"/>
      <c r="Q466" s="59" t="s">
        <v>1565</v>
      </c>
      <c r="R466" s="76" t="s">
        <v>1566</v>
      </c>
      <c r="S466" s="59"/>
      <c r="T466" s="59"/>
      <c r="U466" s="77" t="str">
        <f t="array" ref="U466">IFERROR(INDEX(DFD!$D$2:$D$1048791,MATCH($Q466,DFD!$B$2:$B$1048791,0)),"")</f>
        <v/>
      </c>
      <c r="V466" s="77" t="str">
        <f t="array" ref="V466">IFERROR(INDEX(DFD!$F$2:$F$1048791,MATCH($Q466,DFD!$B$2:$B$1048791,0)),"")</f>
        <v/>
      </c>
      <c r="W466" s="84" t="str">
        <f t="array" ref="W466">IFERROR(INDEX(DFD!$E$2:$E$1048791,MATCH($Q466,DFD!$B$2:$B$1048791,0)),"")</f>
        <v/>
      </c>
      <c r="X466" s="84" t="str">
        <f t="array" ref="X466">IFERROR(INDEX(DFD!$K$2:$K$1048791,MATCH($Q466,DFD!$B$2:$B$1048791,0)),"")</f>
        <v/>
      </c>
      <c r="Y466" s="84" t="str">
        <f t="array" ref="Y466">IFERROR(INDEX(DFD!$L$2:$L$1048790,MATCH($Q466,DFD!$B$2:$B$1048790,0)),"")</f>
        <v/>
      </c>
      <c r="Z466" s="84">
        <f t="shared" si="13"/>
        <v>45</v>
      </c>
      <c r="AA466" s="59"/>
      <c r="AB466" s="59" t="s">
        <v>288</v>
      </c>
      <c r="AC466" s="59"/>
      <c r="AD466" s="85">
        <v>46043.0</v>
      </c>
      <c r="AE466" s="86">
        <f t="shared" si="8"/>
        <v>1</v>
      </c>
    </row>
    <row r="467" ht="15.75" customHeight="1">
      <c r="A467" s="87" t="s">
        <v>1567</v>
      </c>
      <c r="B467" s="87" t="s">
        <v>101</v>
      </c>
      <c r="C467" s="88" t="s">
        <v>1568</v>
      </c>
      <c r="D467" s="88" t="s">
        <v>51</v>
      </c>
      <c r="E467" s="88">
        <v>15.0</v>
      </c>
      <c r="F467" s="89">
        <v>2775.0</v>
      </c>
      <c r="G467" s="90" t="s">
        <v>53</v>
      </c>
      <c r="H467" s="91">
        <v>46174.0</v>
      </c>
      <c r="I467" s="92" t="s">
        <v>17</v>
      </c>
      <c r="J467" s="92" t="s">
        <v>54</v>
      </c>
      <c r="K467" s="92" t="s">
        <v>66</v>
      </c>
      <c r="L467" s="92" t="s">
        <v>56</v>
      </c>
      <c r="M467" s="90" t="s">
        <v>68</v>
      </c>
      <c r="N467" s="92" t="s">
        <v>58</v>
      </c>
      <c r="O467" s="87" t="s">
        <v>69</v>
      </c>
      <c r="P467" s="87"/>
      <c r="Q467" s="87" t="s">
        <v>1569</v>
      </c>
      <c r="R467" s="93" t="s">
        <v>269</v>
      </c>
      <c r="S467" s="87"/>
      <c r="T467" s="87"/>
      <c r="U467" s="94" t="str">
        <f t="array" ref="U467">IFERROR(INDEX(DFD!$D$2:$D$1048791,MATCH($Q467,DFD!$B$2:$B$1048791,0)),"")</f>
        <v/>
      </c>
      <c r="V467" s="94" t="str">
        <f t="array" ref="V467">IFERROR(INDEX(DFD!$F$2:$F$1048791,MATCH($Q467,DFD!$B$2:$B$1048791,0)),"")</f>
        <v/>
      </c>
      <c r="W467" s="97" t="str">
        <f t="array" ref="W467">IFERROR(INDEX(DFD!$E$2:$E$1048791,MATCH($Q467,DFD!$B$2:$B$1048791,0)),"")</f>
        <v/>
      </c>
      <c r="X467" s="97" t="str">
        <f t="array" ref="X467">IFERROR(INDEX(DFD!$K$2:$K$1048791,MATCH($Q467,DFD!$B$2:$B$1048791,0)),"")</f>
        <v/>
      </c>
      <c r="Y467" s="97" t="str">
        <f t="array" ref="Y467">IFERROR(INDEX(DFD!$L$2:$L$1048790,MATCH($Q467,DFD!$B$2:$B$1048790,0)),"")</f>
        <v/>
      </c>
      <c r="Z467" s="97">
        <f t="shared" si="13"/>
        <v>45</v>
      </c>
      <c r="AA467" s="87"/>
      <c r="AB467" s="87" t="s">
        <v>78</v>
      </c>
      <c r="AC467" s="87"/>
      <c r="AD467" s="99">
        <v>46043.0</v>
      </c>
      <c r="AE467" s="100">
        <f t="shared" si="8"/>
        <v>1</v>
      </c>
    </row>
    <row r="468" ht="15.75" customHeight="1">
      <c r="A468" s="59" t="s">
        <v>1570</v>
      </c>
      <c r="B468" s="59" t="s">
        <v>602</v>
      </c>
      <c r="C468" s="60" t="s">
        <v>1568</v>
      </c>
      <c r="D468" s="60" t="s">
        <v>51</v>
      </c>
      <c r="E468" s="60">
        <v>2.0</v>
      </c>
      <c r="F468" s="72">
        <v>370.0</v>
      </c>
      <c r="G468" s="73" t="s">
        <v>53</v>
      </c>
      <c r="H468" s="74">
        <v>46174.0</v>
      </c>
      <c r="I468" s="67" t="s">
        <v>17</v>
      </c>
      <c r="J468" s="67" t="s">
        <v>54</v>
      </c>
      <c r="K468" s="67" t="s">
        <v>66</v>
      </c>
      <c r="L468" s="67" t="s">
        <v>67</v>
      </c>
      <c r="M468" s="73" t="s">
        <v>104</v>
      </c>
      <c r="N468" s="67" t="s">
        <v>5</v>
      </c>
      <c r="O468" s="67" t="s">
        <v>89</v>
      </c>
      <c r="P468" s="59"/>
      <c r="Q468" s="59" t="s">
        <v>1569</v>
      </c>
      <c r="R468" s="76" t="s">
        <v>269</v>
      </c>
      <c r="S468" s="59"/>
      <c r="T468" s="59"/>
      <c r="U468" s="77" t="str">
        <f t="array" ref="U468">IFERROR(INDEX(DFD!$D$2:$D$1048791,MATCH($Q468,DFD!$B$2:$B$1048791,0)),"")</f>
        <v/>
      </c>
      <c r="V468" s="77" t="str">
        <f t="array" ref="V468">IFERROR(INDEX(DFD!$F$2:$F$1048791,MATCH($Q468,DFD!$B$2:$B$1048791,0)),"")</f>
        <v/>
      </c>
      <c r="W468" s="84" t="str">
        <f t="array" ref="W468">IFERROR(INDEX(DFD!$E$2:$E$1048791,MATCH($Q468,DFD!$B$2:$B$1048791,0)),"")</f>
        <v/>
      </c>
      <c r="X468" s="84" t="str">
        <f t="array" ref="X468">IFERROR(INDEX(DFD!$K$2:$K$1048791,MATCH($Q468,DFD!$B$2:$B$1048791,0)),"")</f>
        <v/>
      </c>
      <c r="Y468" s="84" t="str">
        <f t="array" ref="Y468">IFERROR(INDEX(DFD!$L$2:$L$1048790,MATCH($Q468,DFD!$B$2:$B$1048790,0)),"")</f>
        <v/>
      </c>
      <c r="Z468" s="84">
        <f t="shared" si="13"/>
        <v>45</v>
      </c>
      <c r="AA468" s="59"/>
      <c r="AB468" s="59" t="s">
        <v>78</v>
      </c>
      <c r="AC468" s="59"/>
      <c r="AD468" s="85">
        <v>46043.0</v>
      </c>
      <c r="AE468" s="86">
        <f t="shared" si="8"/>
        <v>1</v>
      </c>
    </row>
    <row r="469" ht="15.75" customHeight="1">
      <c r="A469" s="87" t="s">
        <v>1571</v>
      </c>
      <c r="B469" s="87" t="s">
        <v>101</v>
      </c>
      <c r="C469" s="88" t="s">
        <v>1572</v>
      </c>
      <c r="D469" s="88" t="s">
        <v>51</v>
      </c>
      <c r="E469" s="88">
        <v>2.0</v>
      </c>
      <c r="F469" s="89">
        <v>360.0</v>
      </c>
      <c r="G469" s="90" t="s">
        <v>53</v>
      </c>
      <c r="H469" s="91">
        <v>46174.0</v>
      </c>
      <c r="I469" s="92" t="s">
        <v>17</v>
      </c>
      <c r="J469" s="92" t="s">
        <v>54</v>
      </c>
      <c r="K469" s="92" t="s">
        <v>66</v>
      </c>
      <c r="L469" s="92" t="s">
        <v>56</v>
      </c>
      <c r="M469" s="90" t="s">
        <v>132</v>
      </c>
      <c r="N469" s="92" t="s">
        <v>58</v>
      </c>
      <c r="O469" s="87" t="s">
        <v>69</v>
      </c>
      <c r="P469" s="87"/>
      <c r="Q469" s="87" t="s">
        <v>1569</v>
      </c>
      <c r="R469" s="93" t="s">
        <v>269</v>
      </c>
      <c r="S469" s="87"/>
      <c r="T469" s="87"/>
      <c r="U469" s="94" t="str">
        <f t="array" ref="U469">IFERROR(INDEX(DFD!$D$2:$D$1048791,MATCH($Q469,DFD!$B$2:$B$1048791,0)),"")</f>
        <v/>
      </c>
      <c r="V469" s="94" t="str">
        <f t="array" ref="V469">IFERROR(INDEX(DFD!$F$2:$F$1048791,MATCH($Q469,DFD!$B$2:$B$1048791,0)),"")</f>
        <v/>
      </c>
      <c r="W469" s="97" t="str">
        <f t="array" ref="W469">IFERROR(INDEX(DFD!$E$2:$E$1048791,MATCH($Q469,DFD!$B$2:$B$1048791,0)),"")</f>
        <v/>
      </c>
      <c r="X469" s="97" t="str">
        <f t="array" ref="X469">IFERROR(INDEX(DFD!$K$2:$K$1048791,MATCH($Q469,DFD!$B$2:$B$1048791,0)),"")</f>
        <v/>
      </c>
      <c r="Y469" s="97" t="str">
        <f t="array" ref="Y469">IFERROR(INDEX(DFD!$L$2:$L$1048790,MATCH($Q469,DFD!$B$2:$B$1048790,0)),"")</f>
        <v/>
      </c>
      <c r="Z469" s="97">
        <f t="shared" si="13"/>
        <v>45</v>
      </c>
      <c r="AA469" s="87"/>
      <c r="AB469" s="87" t="s">
        <v>78</v>
      </c>
      <c r="AC469" s="87"/>
      <c r="AD469" s="99">
        <v>46043.0</v>
      </c>
      <c r="AE469" s="100">
        <f t="shared" si="8"/>
        <v>1</v>
      </c>
    </row>
    <row r="470" ht="15.75" customHeight="1">
      <c r="A470" s="59" t="s">
        <v>1573</v>
      </c>
      <c r="B470" s="59" t="s">
        <v>602</v>
      </c>
      <c r="C470" s="60" t="s">
        <v>1572</v>
      </c>
      <c r="D470" s="60" t="s">
        <v>51</v>
      </c>
      <c r="E470" s="60">
        <v>2.0</v>
      </c>
      <c r="F470" s="72">
        <v>360.0</v>
      </c>
      <c r="G470" s="73" t="s">
        <v>53</v>
      </c>
      <c r="H470" s="74">
        <v>46174.0</v>
      </c>
      <c r="I470" s="67" t="s">
        <v>17</v>
      </c>
      <c r="J470" s="67" t="s">
        <v>54</v>
      </c>
      <c r="K470" s="67" t="s">
        <v>66</v>
      </c>
      <c r="L470" s="67" t="s">
        <v>67</v>
      </c>
      <c r="M470" s="73" t="s">
        <v>104</v>
      </c>
      <c r="N470" s="67" t="s">
        <v>5</v>
      </c>
      <c r="O470" s="59" t="s">
        <v>69</v>
      </c>
      <c r="P470" s="59"/>
      <c r="Q470" s="59" t="s">
        <v>1569</v>
      </c>
      <c r="R470" s="76" t="s">
        <v>269</v>
      </c>
      <c r="S470" s="59"/>
      <c r="T470" s="59"/>
      <c r="U470" s="77" t="str">
        <f t="array" ref="U470">IFERROR(INDEX(DFD!$D$2:$D$1048791,MATCH($Q470,DFD!$B$2:$B$1048791,0)),"")</f>
        <v/>
      </c>
      <c r="V470" s="77" t="str">
        <f t="array" ref="V470">IFERROR(INDEX(DFD!$F$2:$F$1048791,MATCH($Q470,DFD!$B$2:$B$1048791,0)),"")</f>
        <v/>
      </c>
      <c r="W470" s="84" t="str">
        <f t="array" ref="W470">IFERROR(INDEX(DFD!$E$2:$E$1048791,MATCH($Q470,DFD!$B$2:$B$1048791,0)),"")</f>
        <v/>
      </c>
      <c r="X470" s="84" t="str">
        <f t="array" ref="X470">IFERROR(INDEX(DFD!$K$2:$K$1048791,MATCH($Q470,DFD!$B$2:$B$1048791,0)),"")</f>
        <v/>
      </c>
      <c r="Y470" s="84" t="str">
        <f t="array" ref="Y470">IFERROR(INDEX(DFD!$L$2:$L$1048790,MATCH($Q470,DFD!$B$2:$B$1048790,0)),"")</f>
        <v/>
      </c>
      <c r="Z470" s="84">
        <f t="shared" si="13"/>
        <v>45</v>
      </c>
      <c r="AA470" s="59"/>
      <c r="AB470" s="59" t="s">
        <v>78</v>
      </c>
      <c r="AC470" s="59"/>
      <c r="AD470" s="85">
        <v>46043.0</v>
      </c>
      <c r="AE470" s="86">
        <f t="shared" si="8"/>
        <v>1</v>
      </c>
    </row>
    <row r="471" ht="15.75" customHeight="1">
      <c r="A471" s="92" t="s">
        <v>1574</v>
      </c>
      <c r="B471" s="87" t="s">
        <v>98</v>
      </c>
      <c r="C471" s="88" t="s">
        <v>1575</v>
      </c>
      <c r="D471" s="88" t="s">
        <v>51</v>
      </c>
      <c r="E471" s="88">
        <v>2.0</v>
      </c>
      <c r="F471" s="89">
        <v>5000.0</v>
      </c>
      <c r="G471" s="90" t="s">
        <v>53</v>
      </c>
      <c r="H471" s="91">
        <v>46204.0</v>
      </c>
      <c r="I471" s="92" t="s">
        <v>17</v>
      </c>
      <c r="J471" s="92" t="s">
        <v>54</v>
      </c>
      <c r="K471" s="92" t="s">
        <v>66</v>
      </c>
      <c r="L471" s="92" t="s">
        <v>67</v>
      </c>
      <c r="M471" s="90" t="s">
        <v>57</v>
      </c>
      <c r="N471" s="92" t="s">
        <v>20</v>
      </c>
      <c r="O471" s="92" t="s">
        <v>89</v>
      </c>
      <c r="P471" s="87"/>
      <c r="Q471" s="87" t="s">
        <v>143</v>
      </c>
      <c r="R471" s="93" t="s">
        <v>71</v>
      </c>
      <c r="S471" s="87"/>
      <c r="T471" s="87"/>
      <c r="U471" s="94" t="str">
        <f t="array" ref="U471">IFERROR(INDEX(DFD!$D$2:$D$1048791,MATCH($Q471,DFD!$B$2:$B$1048791,0)),"")</f>
        <v/>
      </c>
      <c r="V471" s="94" t="str">
        <f t="array" ref="V471">IFERROR(INDEX(DFD!$F$2:$F$1048791,MATCH($Q471,DFD!$B$2:$B$1048791,0)),"")</f>
        <v/>
      </c>
      <c r="W471" s="97" t="str">
        <f t="array" ref="W471">IFERROR(INDEX(DFD!$E$2:$E$1048791,MATCH($Q471,DFD!$B$2:$B$1048791,0)),"")</f>
        <v/>
      </c>
      <c r="X471" s="97" t="str">
        <f t="array" ref="X471">IFERROR(INDEX(DFD!$K$2:$K$1048791,MATCH($Q471,DFD!$B$2:$B$1048791,0)),"")</f>
        <v/>
      </c>
      <c r="Y471" s="97" t="str">
        <f t="array" ref="Y471">IFERROR(INDEX(DFD!$L$2:$L$1048790,MATCH($Q471,DFD!$B$2:$B$1048790,0)),"")</f>
        <v/>
      </c>
      <c r="Z471" s="97">
        <f t="shared" si="13"/>
        <v>45</v>
      </c>
      <c r="AA471" s="87"/>
      <c r="AB471" s="87" t="s">
        <v>78</v>
      </c>
      <c r="AC471" s="87"/>
      <c r="AD471" s="99">
        <v>46043.0</v>
      </c>
      <c r="AE471" s="100">
        <f t="shared" si="8"/>
        <v>1</v>
      </c>
    </row>
    <row r="472" ht="15.75" customHeight="1">
      <c r="A472" s="59" t="s">
        <v>1576</v>
      </c>
      <c r="B472" s="59" t="s">
        <v>101</v>
      </c>
      <c r="C472" s="60" t="s">
        <v>1577</v>
      </c>
      <c r="D472" s="60" t="s">
        <v>51</v>
      </c>
      <c r="E472" s="60">
        <v>12.0</v>
      </c>
      <c r="F472" s="72">
        <v>1641.6</v>
      </c>
      <c r="G472" s="73" t="s">
        <v>53</v>
      </c>
      <c r="H472" s="74">
        <v>46174.0</v>
      </c>
      <c r="I472" s="67" t="s">
        <v>17</v>
      </c>
      <c r="J472" s="67" t="s">
        <v>54</v>
      </c>
      <c r="K472" s="67" t="s">
        <v>66</v>
      </c>
      <c r="L472" s="67" t="s">
        <v>56</v>
      </c>
      <c r="M472" s="73" t="s">
        <v>132</v>
      </c>
      <c r="N472" s="67" t="s">
        <v>58</v>
      </c>
      <c r="O472" s="59" t="s">
        <v>69</v>
      </c>
      <c r="P472" s="59"/>
      <c r="Q472" s="59" t="s">
        <v>143</v>
      </c>
      <c r="R472" s="76" t="s">
        <v>71</v>
      </c>
      <c r="S472" s="59"/>
      <c r="T472" s="59"/>
      <c r="U472" s="77" t="str">
        <f t="array" ref="U472">IFERROR(INDEX(DFD!$D$2:$D$1048791,MATCH($Q472,DFD!$B$2:$B$1048791,0)),"")</f>
        <v/>
      </c>
      <c r="V472" s="77" t="str">
        <f t="array" ref="V472">IFERROR(INDEX(DFD!$F$2:$F$1048791,MATCH($Q472,DFD!$B$2:$B$1048791,0)),"")</f>
        <v/>
      </c>
      <c r="W472" s="84" t="str">
        <f t="array" ref="W472">IFERROR(INDEX(DFD!$E$2:$E$1048791,MATCH($Q472,DFD!$B$2:$B$1048791,0)),"")</f>
        <v/>
      </c>
      <c r="X472" s="84" t="str">
        <f t="array" ref="X472">IFERROR(INDEX(DFD!$K$2:$K$1048791,MATCH($Q472,DFD!$B$2:$B$1048791,0)),"")</f>
        <v/>
      </c>
      <c r="Y472" s="84" t="str">
        <f t="array" ref="Y472">IFERROR(INDEX(DFD!$L$2:$L$1048790,MATCH($Q472,DFD!$B$2:$B$1048790,0)),"")</f>
        <v/>
      </c>
      <c r="Z472" s="84">
        <f t="shared" si="13"/>
        <v>45</v>
      </c>
      <c r="AA472" s="59"/>
      <c r="AB472" s="59" t="s">
        <v>78</v>
      </c>
      <c r="AC472" s="59"/>
      <c r="AD472" s="85">
        <v>46043.0</v>
      </c>
      <c r="AE472" s="86">
        <f t="shared" si="8"/>
        <v>1</v>
      </c>
    </row>
    <row r="473" ht="15.75" customHeight="1">
      <c r="A473" s="92" t="s">
        <v>1578</v>
      </c>
      <c r="B473" s="87" t="s">
        <v>184</v>
      </c>
      <c r="C473" s="88" t="s">
        <v>1579</v>
      </c>
      <c r="D473" s="88" t="s">
        <v>51</v>
      </c>
      <c r="E473" s="88">
        <v>30.0</v>
      </c>
      <c r="F473" s="89">
        <v>600.0</v>
      </c>
      <c r="G473" s="90" t="s">
        <v>53</v>
      </c>
      <c r="H473" s="91">
        <v>46174.0</v>
      </c>
      <c r="I473" s="92" t="s">
        <v>17</v>
      </c>
      <c r="J473" s="92" t="s">
        <v>54</v>
      </c>
      <c r="K473" s="92" t="s">
        <v>66</v>
      </c>
      <c r="L473" s="92" t="s">
        <v>67</v>
      </c>
      <c r="M473" s="90" t="s">
        <v>57</v>
      </c>
      <c r="N473" s="92" t="s">
        <v>20</v>
      </c>
      <c r="O473" s="87" t="s">
        <v>69</v>
      </c>
      <c r="P473" s="87"/>
      <c r="Q473" s="87" t="s">
        <v>1399</v>
      </c>
      <c r="R473" s="93" t="s">
        <v>187</v>
      </c>
      <c r="S473" s="87"/>
      <c r="T473" s="87"/>
      <c r="U473" s="94" t="str">
        <f t="array" ref="U473">IFERROR(INDEX(DFD!$D$2:$D$1048791,MATCH($Q473,DFD!$B$2:$B$1048791,0)),"")</f>
        <v/>
      </c>
      <c r="V473" s="94" t="str">
        <f t="array" ref="V473">IFERROR(INDEX(DFD!$F$2:$F$1048791,MATCH($Q473,DFD!$B$2:$B$1048791,0)),"")</f>
        <v/>
      </c>
      <c r="W473" s="97" t="str">
        <f t="array" ref="W473">IFERROR(INDEX(DFD!$E$2:$E$1048791,MATCH($Q473,DFD!$B$2:$B$1048791,0)),"")</f>
        <v/>
      </c>
      <c r="X473" s="97" t="str">
        <f t="array" ref="X473">IFERROR(INDEX(DFD!$K$2:$K$1048791,MATCH($Q473,DFD!$B$2:$B$1048791,0)),"")</f>
        <v/>
      </c>
      <c r="Y473" s="97" t="str">
        <f t="array" ref="Y473">IFERROR(INDEX(DFD!$L$2:$L$1048790,MATCH($Q473,DFD!$B$2:$B$1048790,0)),"")</f>
        <v/>
      </c>
      <c r="Z473" s="97">
        <f t="shared" si="13"/>
        <v>45</v>
      </c>
      <c r="AA473" s="87"/>
      <c r="AB473" s="87" t="s">
        <v>78</v>
      </c>
      <c r="AC473" s="87"/>
      <c r="AD473" s="99">
        <v>46043.0</v>
      </c>
      <c r="AE473" s="100">
        <f t="shared" si="8"/>
        <v>1</v>
      </c>
    </row>
    <row r="474" ht="15.75" customHeight="1">
      <c r="A474" s="67" t="s">
        <v>1580</v>
      </c>
      <c r="B474" s="59" t="s">
        <v>184</v>
      </c>
      <c r="C474" s="60" t="s">
        <v>1581</v>
      </c>
      <c r="D474" s="60" t="s">
        <v>51</v>
      </c>
      <c r="E474" s="60">
        <v>100.0</v>
      </c>
      <c r="F474" s="72">
        <v>1590.0</v>
      </c>
      <c r="G474" s="73" t="s">
        <v>53</v>
      </c>
      <c r="H474" s="74">
        <v>46174.0</v>
      </c>
      <c r="I474" s="67" t="s">
        <v>17</v>
      </c>
      <c r="J474" s="67" t="s">
        <v>54</v>
      </c>
      <c r="K474" s="67" t="s">
        <v>66</v>
      </c>
      <c r="L474" s="67" t="s">
        <v>67</v>
      </c>
      <c r="M474" s="73" t="s">
        <v>57</v>
      </c>
      <c r="N474" s="67" t="s">
        <v>20</v>
      </c>
      <c r="O474" s="67" t="s">
        <v>89</v>
      </c>
      <c r="P474" s="59"/>
      <c r="Q474" s="59" t="s">
        <v>268</v>
      </c>
      <c r="R474" s="76" t="s">
        <v>269</v>
      </c>
      <c r="S474" s="59"/>
      <c r="T474" s="59"/>
      <c r="U474" s="77" t="str">
        <f t="array" ref="U474">IFERROR(INDEX(DFD!$D$2:$D$1048791,MATCH($Q474,DFD!$B$2:$B$1048791,0)),"")</f>
        <v/>
      </c>
      <c r="V474" s="77" t="str">
        <f t="array" ref="V474">IFERROR(INDEX(DFD!$F$2:$F$1048791,MATCH($Q474,DFD!$B$2:$B$1048791,0)),"")</f>
        <v/>
      </c>
      <c r="W474" s="84" t="str">
        <f t="array" ref="W474">IFERROR(INDEX(DFD!$E$2:$E$1048791,MATCH($Q474,DFD!$B$2:$B$1048791,0)),"")</f>
        <v/>
      </c>
      <c r="X474" s="84" t="str">
        <f t="array" ref="X474">IFERROR(INDEX(DFD!$K$2:$K$1048791,MATCH($Q474,DFD!$B$2:$B$1048791,0)),"")</f>
        <v/>
      </c>
      <c r="Y474" s="84" t="str">
        <f t="array" ref="Y474">IFERROR(INDEX(DFD!$L$2:$L$1048790,MATCH($Q474,DFD!$B$2:$B$1048790,0)),"")</f>
        <v/>
      </c>
      <c r="Z474" s="84">
        <f t="shared" si="13"/>
        <v>45</v>
      </c>
      <c r="AA474" s="59"/>
      <c r="AB474" s="59" t="s">
        <v>78</v>
      </c>
      <c r="AC474" s="59"/>
      <c r="AD474" s="85">
        <v>46043.0</v>
      </c>
      <c r="AE474" s="86">
        <f t="shared" si="8"/>
        <v>1</v>
      </c>
    </row>
    <row r="475" ht="15.75" customHeight="1">
      <c r="A475" s="87" t="s">
        <v>1582</v>
      </c>
      <c r="B475" s="87" t="s">
        <v>148</v>
      </c>
      <c r="C475" s="88" t="s">
        <v>1583</v>
      </c>
      <c r="D475" s="88" t="s">
        <v>51</v>
      </c>
      <c r="E475" s="88">
        <v>1.0</v>
      </c>
      <c r="F475" s="89">
        <v>250.0</v>
      </c>
      <c r="G475" s="90" t="s">
        <v>53</v>
      </c>
      <c r="H475" s="91">
        <v>46143.0</v>
      </c>
      <c r="I475" s="92" t="s">
        <v>17</v>
      </c>
      <c r="J475" s="92" t="s">
        <v>54</v>
      </c>
      <c r="K475" s="92" t="s">
        <v>66</v>
      </c>
      <c r="L475" s="92" t="s">
        <v>67</v>
      </c>
      <c r="M475" s="90" t="s">
        <v>57</v>
      </c>
      <c r="N475" s="92" t="s">
        <v>5</v>
      </c>
      <c r="O475" s="87" t="s">
        <v>69</v>
      </c>
      <c r="P475" s="87"/>
      <c r="Q475" s="87" t="s">
        <v>1356</v>
      </c>
      <c r="R475" s="93" t="s">
        <v>114</v>
      </c>
      <c r="S475" s="87"/>
      <c r="T475" s="87"/>
      <c r="U475" s="94" t="str">
        <f t="array" ref="U475">IFERROR(INDEX(DFD!$D$2:$D$1048791,MATCH($Q475,DFD!$B$2:$B$1048791,0)),"")</f>
        <v/>
      </c>
      <c r="V475" s="94" t="s">
        <v>280</v>
      </c>
      <c r="W475" s="97" t="str">
        <f t="array" ref="W475">IFERROR(INDEX(DFD!$E$2:$E$1048791,MATCH($Q475,DFD!$B$2:$B$1048791,0)),"")</f>
        <v/>
      </c>
      <c r="X475" s="97" t="str">
        <f t="array" ref="X475">IFERROR(INDEX(DFD!$K$2:$K$1048791,MATCH($Q475,DFD!$B$2:$B$1048791,0)),"")</f>
        <v/>
      </c>
      <c r="Y475" s="97" t="str">
        <f t="array" ref="Y475">IFERROR(INDEX(DFD!$L$2:$L$1048790,MATCH($Q475,DFD!$B$2:$B$1048790,0)),"")</f>
        <v/>
      </c>
      <c r="Z475" s="97">
        <f t="shared" si="13"/>
        <v>45</v>
      </c>
      <c r="AA475" s="87"/>
      <c r="AB475" s="87" t="s">
        <v>78</v>
      </c>
      <c r="AC475" s="87"/>
      <c r="AD475" s="99">
        <v>46043.0</v>
      </c>
      <c r="AE475" s="100">
        <f t="shared" si="8"/>
        <v>1</v>
      </c>
    </row>
    <row r="476" ht="15.75" customHeight="1">
      <c r="A476" s="67" t="s">
        <v>1584</v>
      </c>
      <c r="B476" s="59" t="s">
        <v>98</v>
      </c>
      <c r="C476" s="60" t="s">
        <v>1585</v>
      </c>
      <c r="D476" s="60" t="s">
        <v>51</v>
      </c>
      <c r="E476" s="60">
        <v>2.0</v>
      </c>
      <c r="F476" s="72">
        <v>2000.0</v>
      </c>
      <c r="G476" s="73" t="s">
        <v>53</v>
      </c>
      <c r="H476" s="74">
        <v>46174.0</v>
      </c>
      <c r="I476" s="67" t="s">
        <v>17</v>
      </c>
      <c r="J476" s="67" t="s">
        <v>54</v>
      </c>
      <c r="K476" s="67" t="s">
        <v>66</v>
      </c>
      <c r="L476" s="67" t="s">
        <v>56</v>
      </c>
      <c r="M476" s="73" t="s">
        <v>132</v>
      </c>
      <c r="N476" s="67" t="s">
        <v>20</v>
      </c>
      <c r="O476" s="59" t="s">
        <v>69</v>
      </c>
      <c r="P476" s="59"/>
      <c r="Q476" s="59" t="s">
        <v>1356</v>
      </c>
      <c r="R476" s="76" t="s">
        <v>114</v>
      </c>
      <c r="S476" s="59"/>
      <c r="T476" s="59"/>
      <c r="U476" s="77" t="str">
        <f t="array" ref="U476">IFERROR(INDEX(DFD!$D$2:$D$1048791,MATCH($Q476,DFD!$B$2:$B$1048791,0)),"")</f>
        <v/>
      </c>
      <c r="V476" s="77" t="s">
        <v>280</v>
      </c>
      <c r="W476" s="84" t="str">
        <f t="array" ref="W476">IFERROR(INDEX(DFD!$E$2:$E$1048791,MATCH($Q476,DFD!$B$2:$B$1048791,0)),"")</f>
        <v/>
      </c>
      <c r="X476" s="84" t="str">
        <f t="array" ref="X476">IFERROR(INDEX(DFD!$K$2:$K$1048791,MATCH($Q476,DFD!$B$2:$B$1048791,0)),"")</f>
        <v/>
      </c>
      <c r="Y476" s="84" t="str">
        <f t="array" ref="Y476">IFERROR(INDEX(DFD!$L$2:$L$1048790,MATCH($Q476,DFD!$B$2:$B$1048790,0)),"")</f>
        <v/>
      </c>
      <c r="Z476" s="84">
        <f t="shared" si="13"/>
        <v>45</v>
      </c>
      <c r="AA476" s="59"/>
      <c r="AB476" s="59" t="s">
        <v>78</v>
      </c>
      <c r="AC476" s="59"/>
      <c r="AD476" s="85">
        <v>46043.0</v>
      </c>
      <c r="AE476" s="86">
        <f t="shared" si="8"/>
        <v>1</v>
      </c>
    </row>
    <row r="477" ht="15.75" customHeight="1">
      <c r="A477" s="92" t="s">
        <v>1586</v>
      </c>
      <c r="B477" s="87" t="s">
        <v>98</v>
      </c>
      <c r="C477" s="88" t="s">
        <v>1587</v>
      </c>
      <c r="D477" s="88" t="s">
        <v>51</v>
      </c>
      <c r="E477" s="88">
        <v>4.0</v>
      </c>
      <c r="F477" s="89">
        <v>1600.0</v>
      </c>
      <c r="G477" s="90" t="s">
        <v>53</v>
      </c>
      <c r="H477" s="91">
        <v>46174.0</v>
      </c>
      <c r="I477" s="92" t="s">
        <v>17</v>
      </c>
      <c r="J477" s="92" t="s">
        <v>54</v>
      </c>
      <c r="K477" s="92" t="s">
        <v>66</v>
      </c>
      <c r="L477" s="92" t="s">
        <v>56</v>
      </c>
      <c r="M477" s="90" t="s">
        <v>57</v>
      </c>
      <c r="N477" s="92" t="s">
        <v>20</v>
      </c>
      <c r="O477" s="92" t="s">
        <v>89</v>
      </c>
      <c r="P477" s="87"/>
      <c r="Q477" s="87" t="s">
        <v>1356</v>
      </c>
      <c r="R477" s="93" t="s">
        <v>114</v>
      </c>
      <c r="S477" s="87"/>
      <c r="T477" s="87"/>
      <c r="U477" s="94" t="str">
        <f t="array" ref="U477">IFERROR(INDEX(DFD!$D$2:$D$1048791,MATCH($Q477,DFD!$B$2:$B$1048791,0)),"")</f>
        <v/>
      </c>
      <c r="V477" s="94" t="s">
        <v>280</v>
      </c>
      <c r="W477" s="97" t="str">
        <f t="array" ref="W477">IFERROR(INDEX(DFD!$E$2:$E$1048791,MATCH($Q477,DFD!$B$2:$B$1048791,0)),"")</f>
        <v/>
      </c>
      <c r="X477" s="97" t="str">
        <f t="array" ref="X477">IFERROR(INDEX(DFD!$K$2:$K$1048791,MATCH($Q477,DFD!$B$2:$B$1048791,0)),"")</f>
        <v/>
      </c>
      <c r="Y477" s="97" t="str">
        <f t="array" ref="Y477">IFERROR(INDEX(DFD!$L$2:$L$1048790,MATCH($Q477,DFD!$B$2:$B$1048790,0)),"")</f>
        <v/>
      </c>
      <c r="Z477" s="97">
        <f t="shared" si="13"/>
        <v>45</v>
      </c>
      <c r="AA477" s="87"/>
      <c r="AB477" s="87" t="s">
        <v>78</v>
      </c>
      <c r="AC477" s="87"/>
      <c r="AD477" s="99">
        <v>46043.0</v>
      </c>
      <c r="AE477" s="100">
        <f t="shared" si="8"/>
        <v>1</v>
      </c>
    </row>
    <row r="478" ht="15.75" customHeight="1">
      <c r="A478" s="67" t="s">
        <v>1588</v>
      </c>
      <c r="B478" s="59" t="s">
        <v>1562</v>
      </c>
      <c r="C478" s="81" t="s">
        <v>1589</v>
      </c>
      <c r="D478" s="60" t="s">
        <v>51</v>
      </c>
      <c r="E478" s="60">
        <v>28.0</v>
      </c>
      <c r="F478" s="72">
        <v>28000.0</v>
      </c>
      <c r="G478" s="73" t="s">
        <v>53</v>
      </c>
      <c r="H478" s="74">
        <v>46235.0</v>
      </c>
      <c r="I478" s="67" t="s">
        <v>17</v>
      </c>
      <c r="J478" s="67" t="s">
        <v>54</v>
      </c>
      <c r="K478" s="67" t="s">
        <v>66</v>
      </c>
      <c r="L478" s="67" t="s">
        <v>56</v>
      </c>
      <c r="M478" s="73" t="s">
        <v>1564</v>
      </c>
      <c r="N478" s="67" t="s">
        <v>20</v>
      </c>
      <c r="O478" s="59" t="s">
        <v>69</v>
      </c>
      <c r="P478" s="59"/>
      <c r="Q478" s="59" t="s">
        <v>1565</v>
      </c>
      <c r="R478" s="76" t="s">
        <v>1566</v>
      </c>
      <c r="S478" s="59"/>
      <c r="T478" s="59"/>
      <c r="U478" s="77" t="str">
        <f t="array" ref="U478">IFERROR(INDEX(DFD!$D$2:$D$1048791,MATCH($Q478,DFD!$B$2:$B$1048791,0)),"")</f>
        <v/>
      </c>
      <c r="V478" s="77" t="str">
        <f t="array" ref="V478">IFERROR(INDEX(DFD!$F$2:$F$1048791,MATCH($Q478,DFD!$B$2:$B$1048791,0)),"")</f>
        <v/>
      </c>
      <c r="W478" s="84" t="str">
        <f t="array" ref="W478">IFERROR(INDEX(DFD!$E$2:$E$1048791,MATCH($Q478,DFD!$B$2:$B$1048791,0)),"")</f>
        <v/>
      </c>
      <c r="X478" s="84" t="str">
        <f t="array" ref="X478">IFERROR(INDEX(DFD!$K$2:$K$1048791,MATCH($Q478,DFD!$B$2:$B$1048791,0)),"")</f>
        <v/>
      </c>
      <c r="Y478" s="84" t="str">
        <f t="array" ref="Y478">IFERROR(INDEX(DFD!$L$2:$L$1048790,MATCH($Q478,DFD!$B$2:$B$1048790,0)),"")</f>
        <v/>
      </c>
      <c r="Z478" s="84">
        <f t="shared" si="13"/>
        <v>45</v>
      </c>
      <c r="AA478" s="59"/>
      <c r="AB478" s="59" t="s">
        <v>288</v>
      </c>
      <c r="AC478" s="59"/>
      <c r="AD478" s="85">
        <v>46043.0</v>
      </c>
      <c r="AE478" s="86">
        <f t="shared" si="8"/>
        <v>1</v>
      </c>
    </row>
    <row r="479" ht="15.75" customHeight="1">
      <c r="A479" s="92" t="s">
        <v>1590</v>
      </c>
      <c r="B479" s="87" t="s">
        <v>184</v>
      </c>
      <c r="C479" s="88" t="s">
        <v>1591</v>
      </c>
      <c r="D479" s="88" t="s">
        <v>51</v>
      </c>
      <c r="E479" s="88">
        <v>100.0</v>
      </c>
      <c r="F479" s="89">
        <v>1290.0</v>
      </c>
      <c r="G479" s="90" t="s">
        <v>53</v>
      </c>
      <c r="H479" s="91">
        <v>46174.0</v>
      </c>
      <c r="I479" s="92" t="s">
        <v>17</v>
      </c>
      <c r="J479" s="92" t="s">
        <v>54</v>
      </c>
      <c r="K479" s="92" t="s">
        <v>66</v>
      </c>
      <c r="L479" s="92" t="s">
        <v>67</v>
      </c>
      <c r="M479" s="90" t="s">
        <v>57</v>
      </c>
      <c r="N479" s="92" t="s">
        <v>20</v>
      </c>
      <c r="O479" s="87" t="s">
        <v>69</v>
      </c>
      <c r="P479" s="87"/>
      <c r="Q479" s="121" t="s">
        <v>970</v>
      </c>
      <c r="R479" s="93" t="s">
        <v>187</v>
      </c>
      <c r="S479" s="87"/>
      <c r="T479" s="87"/>
      <c r="U479" s="94" t="str">
        <f t="array" ref="U479">IFERROR(INDEX(DFD!$D$2:$D$1048791,MATCH($Q479,DFD!$B$2:$B$1048791,0)),"")</f>
        <v/>
      </c>
      <c r="V479" s="94" t="s">
        <v>280</v>
      </c>
      <c r="W479" s="97" t="str">
        <f t="array" ref="W479">IFERROR(INDEX(DFD!$E$2:$E$1048791,MATCH($Q479,DFD!$B$2:$B$1048791,0)),"")</f>
        <v/>
      </c>
      <c r="X479" s="97" t="str">
        <f t="array" ref="X479">IFERROR(INDEX(DFD!$K$2:$K$1048791,MATCH($Q479,DFD!$B$2:$B$1048791,0)),"")</f>
        <v/>
      </c>
      <c r="Y479" s="97" t="str">
        <f t="array" ref="Y479">IFERROR(INDEX(DFD!$L$2:$L$1048790,MATCH($Q479,DFD!$B$2:$B$1048790,0)),"")</f>
        <v/>
      </c>
      <c r="Z479" s="97">
        <f t="shared" si="13"/>
        <v>45</v>
      </c>
      <c r="AA479" s="87"/>
      <c r="AB479" s="87" t="s">
        <v>78</v>
      </c>
      <c r="AC479" s="87"/>
      <c r="AD479" s="99">
        <v>46043.0</v>
      </c>
      <c r="AE479" s="100">
        <f t="shared" si="8"/>
        <v>1</v>
      </c>
    </row>
    <row r="480" ht="15.75" customHeight="1">
      <c r="A480" s="67" t="s">
        <v>1592</v>
      </c>
      <c r="B480" s="59" t="s">
        <v>184</v>
      </c>
      <c r="C480" s="60" t="s">
        <v>1593</v>
      </c>
      <c r="D480" s="60" t="s">
        <v>1594</v>
      </c>
      <c r="E480" s="60">
        <v>60.0</v>
      </c>
      <c r="F480" s="72">
        <v>201.0</v>
      </c>
      <c r="G480" s="73" t="s">
        <v>53</v>
      </c>
      <c r="H480" s="74">
        <v>46143.0</v>
      </c>
      <c r="I480" s="67" t="s">
        <v>17</v>
      </c>
      <c r="J480" s="67" t="s">
        <v>54</v>
      </c>
      <c r="K480" s="67" t="s">
        <v>66</v>
      </c>
      <c r="L480" s="67" t="s">
        <v>67</v>
      </c>
      <c r="M480" s="73" t="s">
        <v>57</v>
      </c>
      <c r="N480" s="67" t="s">
        <v>20</v>
      </c>
      <c r="O480" s="67" t="s">
        <v>89</v>
      </c>
      <c r="P480" s="59"/>
      <c r="Q480" s="59" t="s">
        <v>1399</v>
      </c>
      <c r="R480" s="76" t="s">
        <v>187</v>
      </c>
      <c r="S480" s="59"/>
      <c r="T480" s="59"/>
      <c r="U480" s="77" t="str">
        <f t="array" ref="U480">IFERROR(INDEX(DFD!$D$2:$D$1048791,MATCH($Q480,DFD!$B$2:$B$1048791,0)),"")</f>
        <v/>
      </c>
      <c r="V480" s="77" t="str">
        <f t="array" ref="V480">IFERROR(INDEX(DFD!$F$2:$F$1048791,MATCH($Q480,DFD!$B$2:$B$1048791,0)),"")</f>
        <v/>
      </c>
      <c r="W480" s="84" t="str">
        <f t="array" ref="W480">IFERROR(INDEX(DFD!$E$2:$E$1048791,MATCH($Q480,DFD!$B$2:$B$1048791,0)),"")</f>
        <v/>
      </c>
      <c r="X480" s="84" t="str">
        <f t="array" ref="X480">IFERROR(INDEX(DFD!$K$2:$K$1048791,MATCH($Q480,DFD!$B$2:$B$1048791,0)),"")</f>
        <v/>
      </c>
      <c r="Y480" s="84" t="str">
        <f t="array" ref="Y480">IFERROR(INDEX(DFD!$L$2:$L$1048790,MATCH($Q480,DFD!$B$2:$B$1048790,0)),"")</f>
        <v/>
      </c>
      <c r="Z480" s="84">
        <f t="shared" si="13"/>
        <v>45</v>
      </c>
      <c r="AA480" s="59"/>
      <c r="AB480" s="59" t="s">
        <v>78</v>
      </c>
      <c r="AC480" s="59"/>
      <c r="AD480" s="85">
        <v>46043.0</v>
      </c>
      <c r="AE480" s="86">
        <f t="shared" si="8"/>
        <v>1</v>
      </c>
    </row>
    <row r="481" ht="15.75" customHeight="1">
      <c r="A481" s="92" t="s">
        <v>1595</v>
      </c>
      <c r="B481" s="87" t="s">
        <v>184</v>
      </c>
      <c r="C481" s="88" t="s">
        <v>1596</v>
      </c>
      <c r="D481" s="88" t="s">
        <v>51</v>
      </c>
      <c r="E481" s="88">
        <v>1500.0</v>
      </c>
      <c r="F481" s="89">
        <v>6150.0</v>
      </c>
      <c r="G481" s="90" t="s">
        <v>53</v>
      </c>
      <c r="H481" s="91">
        <v>46204.0</v>
      </c>
      <c r="I481" s="92" t="s">
        <v>17</v>
      </c>
      <c r="J481" s="92" t="s">
        <v>54</v>
      </c>
      <c r="K481" s="92" t="s">
        <v>66</v>
      </c>
      <c r="L481" s="92" t="s">
        <v>67</v>
      </c>
      <c r="M481" s="90" t="s">
        <v>57</v>
      </c>
      <c r="N481" s="92" t="s">
        <v>20</v>
      </c>
      <c r="O481" s="87" t="s">
        <v>69</v>
      </c>
      <c r="P481" s="87"/>
      <c r="Q481" s="87" t="s">
        <v>1399</v>
      </c>
      <c r="R481" s="93" t="s">
        <v>187</v>
      </c>
      <c r="S481" s="87"/>
      <c r="T481" s="87"/>
      <c r="U481" s="94" t="str">
        <f t="array" ref="U481">IFERROR(INDEX(DFD!$D$2:$D$1048791,MATCH($Q481,DFD!$B$2:$B$1048791,0)),"")</f>
        <v/>
      </c>
      <c r="V481" s="94" t="str">
        <f t="array" ref="V481">IFERROR(INDEX(DFD!$F$2:$F$1048791,MATCH($Q481,DFD!$B$2:$B$1048791,0)),"")</f>
        <v/>
      </c>
      <c r="W481" s="97" t="str">
        <f t="array" ref="W481">IFERROR(INDEX(DFD!$E$2:$E$1048791,MATCH($Q481,DFD!$B$2:$B$1048791,0)),"")</f>
        <v/>
      </c>
      <c r="X481" s="97" t="str">
        <f t="array" ref="X481">IFERROR(INDEX(DFD!$K$2:$K$1048791,MATCH($Q481,DFD!$B$2:$B$1048791,0)),"")</f>
        <v/>
      </c>
      <c r="Y481" s="97" t="str">
        <f t="array" ref="Y481">IFERROR(INDEX(DFD!$L$2:$L$1048790,MATCH($Q481,DFD!$B$2:$B$1048790,0)),"")</f>
        <v/>
      </c>
      <c r="Z481" s="97">
        <f t="shared" si="13"/>
        <v>45</v>
      </c>
      <c r="AA481" s="87"/>
      <c r="AB481" s="87" t="s">
        <v>78</v>
      </c>
      <c r="AC481" s="87"/>
      <c r="AD481" s="99">
        <v>46043.0</v>
      </c>
      <c r="AE481" s="100">
        <f t="shared" si="8"/>
        <v>1</v>
      </c>
    </row>
    <row r="482" ht="15.75" customHeight="1">
      <c r="A482" s="59" t="s">
        <v>1597</v>
      </c>
      <c r="B482" s="59" t="s">
        <v>101</v>
      </c>
      <c r="C482" s="60" t="s">
        <v>1598</v>
      </c>
      <c r="D482" s="60" t="s">
        <v>51</v>
      </c>
      <c r="E482" s="60">
        <v>10.0</v>
      </c>
      <c r="F482" s="72">
        <v>3670.0</v>
      </c>
      <c r="G482" s="73" t="s">
        <v>53</v>
      </c>
      <c r="H482" s="74">
        <v>46174.0</v>
      </c>
      <c r="I482" s="67" t="s">
        <v>17</v>
      </c>
      <c r="J482" s="67" t="s">
        <v>54</v>
      </c>
      <c r="K482" s="67" t="s">
        <v>66</v>
      </c>
      <c r="L482" s="67" t="s">
        <v>56</v>
      </c>
      <c r="M482" s="73" t="s">
        <v>167</v>
      </c>
      <c r="N482" s="67" t="s">
        <v>58</v>
      </c>
      <c r="O482" s="59" t="s">
        <v>69</v>
      </c>
      <c r="P482" s="59"/>
      <c r="Q482" s="59" t="s">
        <v>822</v>
      </c>
      <c r="R482" s="76" t="s">
        <v>71</v>
      </c>
      <c r="S482" s="59"/>
      <c r="T482" s="59"/>
      <c r="U482" s="77" t="str">
        <f t="array" ref="U482">IFERROR(INDEX(DFD!$D$2:$D$1048791,MATCH($Q482,DFD!$B$2:$B$1048791,0)),"")</f>
        <v/>
      </c>
      <c r="V482" s="77" t="s">
        <v>280</v>
      </c>
      <c r="W482" s="84" t="str">
        <f t="array" ref="W482">IFERROR(INDEX(DFD!$E$2:$E$1048791,MATCH($Q482,DFD!$B$2:$B$1048791,0)),"")</f>
        <v/>
      </c>
      <c r="X482" s="84" t="str">
        <f t="array" ref="X482">IFERROR(INDEX(DFD!$K$2:$K$1048791,MATCH($Q482,DFD!$B$2:$B$1048791,0)),"")</f>
        <v/>
      </c>
      <c r="Y482" s="84" t="str">
        <f t="array" ref="Y482">IFERROR(INDEX(DFD!$L$2:$L$1048790,MATCH($Q482,DFD!$B$2:$B$1048790,0)),"")</f>
        <v/>
      </c>
      <c r="Z482" s="84">
        <f t="shared" si="13"/>
        <v>45</v>
      </c>
      <c r="AA482" s="59"/>
      <c r="AB482" s="59" t="s">
        <v>78</v>
      </c>
      <c r="AC482" s="59"/>
      <c r="AD482" s="85">
        <v>46043.0</v>
      </c>
      <c r="AE482" s="86">
        <f t="shared" si="8"/>
        <v>1</v>
      </c>
    </row>
    <row r="483" ht="15.75" customHeight="1">
      <c r="A483" s="87" t="s">
        <v>1599</v>
      </c>
      <c r="B483" s="87" t="s">
        <v>94</v>
      </c>
      <c r="C483" s="88" t="s">
        <v>1598</v>
      </c>
      <c r="D483" s="88" t="s">
        <v>51</v>
      </c>
      <c r="E483" s="88">
        <v>10.0</v>
      </c>
      <c r="F483" s="89">
        <v>3670.0</v>
      </c>
      <c r="G483" s="90" t="s">
        <v>53</v>
      </c>
      <c r="H483" s="91">
        <v>46174.0</v>
      </c>
      <c r="I483" s="92" t="s">
        <v>17</v>
      </c>
      <c r="J483" s="92" t="s">
        <v>54</v>
      </c>
      <c r="K483" s="92" t="s">
        <v>66</v>
      </c>
      <c r="L483" s="92" t="s">
        <v>67</v>
      </c>
      <c r="M483" s="90" t="s">
        <v>104</v>
      </c>
      <c r="N483" s="92" t="s">
        <v>5</v>
      </c>
      <c r="O483" s="92" t="s">
        <v>89</v>
      </c>
      <c r="P483" s="87"/>
      <c r="Q483" s="87" t="s">
        <v>822</v>
      </c>
      <c r="R483" s="93" t="s">
        <v>71</v>
      </c>
      <c r="S483" s="87"/>
      <c r="T483" s="87"/>
      <c r="U483" s="94" t="str">
        <f t="array" ref="U483">IFERROR(INDEX(DFD!$D$2:$D$1048791,MATCH($Q483,DFD!$B$2:$B$1048791,0)),"")</f>
        <v/>
      </c>
      <c r="V483" s="94" t="s">
        <v>280</v>
      </c>
      <c r="W483" s="97" t="str">
        <f t="array" ref="W483">IFERROR(INDEX(DFD!$E$2:$E$1048791,MATCH($Q483,DFD!$B$2:$B$1048791,0)),"")</f>
        <v/>
      </c>
      <c r="X483" s="97" t="str">
        <f t="array" ref="X483">IFERROR(INDEX(DFD!$K$2:$K$1048791,MATCH($Q483,DFD!$B$2:$B$1048791,0)),"")</f>
        <v/>
      </c>
      <c r="Y483" s="97" t="str">
        <f t="array" ref="Y483">IFERROR(INDEX(DFD!$L$2:$L$1048790,MATCH($Q483,DFD!$B$2:$B$1048790,0)),"")</f>
        <v/>
      </c>
      <c r="Z483" s="97">
        <f t="shared" si="13"/>
        <v>45</v>
      </c>
      <c r="AA483" s="87"/>
      <c r="AB483" s="87" t="s">
        <v>78</v>
      </c>
      <c r="AC483" s="87"/>
      <c r="AD483" s="99">
        <v>46043.0</v>
      </c>
      <c r="AE483" s="100">
        <f t="shared" si="8"/>
        <v>1</v>
      </c>
    </row>
    <row r="484" ht="15.75" customHeight="1">
      <c r="A484" s="59" t="s">
        <v>1600</v>
      </c>
      <c r="B484" s="59" t="s">
        <v>92</v>
      </c>
      <c r="C484" s="60" t="s">
        <v>1598</v>
      </c>
      <c r="D484" s="60" t="s">
        <v>51</v>
      </c>
      <c r="E484" s="60">
        <v>6.0</v>
      </c>
      <c r="F484" s="72">
        <v>2202.0</v>
      </c>
      <c r="G484" s="73" t="s">
        <v>53</v>
      </c>
      <c r="H484" s="74">
        <v>46174.0</v>
      </c>
      <c r="I484" s="67" t="s">
        <v>17</v>
      </c>
      <c r="J484" s="67" t="s">
        <v>54</v>
      </c>
      <c r="K484" s="67" t="s">
        <v>66</v>
      </c>
      <c r="L484" s="67" t="s">
        <v>67</v>
      </c>
      <c r="M484" s="73" t="s">
        <v>104</v>
      </c>
      <c r="N484" s="67" t="s">
        <v>5</v>
      </c>
      <c r="O484" s="59" t="s">
        <v>69</v>
      </c>
      <c r="P484" s="59"/>
      <c r="Q484" s="59" t="s">
        <v>822</v>
      </c>
      <c r="R484" s="76" t="s">
        <v>71</v>
      </c>
      <c r="S484" s="59"/>
      <c r="T484" s="59"/>
      <c r="U484" s="77" t="str">
        <f t="array" ref="U484">IFERROR(INDEX(DFD!$D$2:$D$1048791,MATCH($Q484,DFD!$B$2:$B$1048791,0)),"")</f>
        <v/>
      </c>
      <c r="V484" s="77" t="s">
        <v>280</v>
      </c>
      <c r="W484" s="84" t="str">
        <f t="array" ref="W484">IFERROR(INDEX(DFD!$E$2:$E$1048791,MATCH($Q484,DFD!$B$2:$B$1048791,0)),"")</f>
        <v/>
      </c>
      <c r="X484" s="84" t="str">
        <f t="array" ref="X484">IFERROR(INDEX(DFD!$K$2:$K$1048791,MATCH($Q484,DFD!$B$2:$B$1048791,0)),"")</f>
        <v/>
      </c>
      <c r="Y484" s="84" t="str">
        <f t="array" ref="Y484">IFERROR(INDEX(DFD!$L$2:$L$1048790,MATCH($Q484,DFD!$B$2:$B$1048790,0)),"")</f>
        <v/>
      </c>
      <c r="Z484" s="84">
        <f t="shared" si="13"/>
        <v>45</v>
      </c>
      <c r="AA484" s="59"/>
      <c r="AB484" s="59" t="s">
        <v>78</v>
      </c>
      <c r="AC484" s="59"/>
      <c r="AD484" s="85">
        <v>46043.0</v>
      </c>
      <c r="AE484" s="86">
        <f t="shared" si="8"/>
        <v>1</v>
      </c>
    </row>
    <row r="485" ht="15.75" customHeight="1">
      <c r="A485" s="92" t="s">
        <v>1601</v>
      </c>
      <c r="B485" s="87" t="s">
        <v>92</v>
      </c>
      <c r="C485" s="88" t="s">
        <v>1602</v>
      </c>
      <c r="D485" s="88" t="s">
        <v>51</v>
      </c>
      <c r="E485" s="88">
        <v>3.0</v>
      </c>
      <c r="F485" s="89">
        <v>750.0</v>
      </c>
      <c r="G485" s="90" t="s">
        <v>53</v>
      </c>
      <c r="H485" s="91">
        <v>46174.0</v>
      </c>
      <c r="I485" s="92" t="s">
        <v>17</v>
      </c>
      <c r="J485" s="92" t="s">
        <v>54</v>
      </c>
      <c r="K485" s="92" t="s">
        <v>66</v>
      </c>
      <c r="L485" s="92" t="s">
        <v>56</v>
      </c>
      <c r="M485" s="90" t="s">
        <v>57</v>
      </c>
      <c r="N485" s="92" t="s">
        <v>20</v>
      </c>
      <c r="O485" s="87" t="s">
        <v>69</v>
      </c>
      <c r="P485" s="87"/>
      <c r="Q485" s="87" t="s">
        <v>214</v>
      </c>
      <c r="R485" s="93" t="s">
        <v>217</v>
      </c>
      <c r="S485" s="87"/>
      <c r="T485" s="87"/>
      <c r="U485" s="94" t="str">
        <f t="array" ref="U485">IFERROR(INDEX(DFD!$D$2:$D$1048791,MATCH($Q485,DFD!$B$2:$B$1048791,0)),"")</f>
        <v/>
      </c>
      <c r="V485" s="94" t="str">
        <f t="array" ref="V485">IFERROR(INDEX(DFD!$F$2:$F$1048791,MATCH($Q485,DFD!$B$2:$B$1048791,0)),"")</f>
        <v/>
      </c>
      <c r="W485" s="97" t="str">
        <f t="array" ref="W485">IFERROR(INDEX(DFD!$E$2:$E$1048791,MATCH($Q485,DFD!$B$2:$B$1048791,0)),"")</f>
        <v/>
      </c>
      <c r="X485" s="97" t="str">
        <f t="array" ref="X485">IFERROR(INDEX(DFD!$K$2:$K$1048791,MATCH($Q485,DFD!$B$2:$B$1048791,0)),"")</f>
        <v/>
      </c>
      <c r="Y485" s="97" t="str">
        <f t="array" ref="Y485">IFERROR(INDEX(DFD!$L$2:$L$1048790,MATCH($Q485,DFD!$B$2:$B$1048790,0)),"")</f>
        <v/>
      </c>
      <c r="Z485" s="97">
        <f t="shared" si="13"/>
        <v>45</v>
      </c>
      <c r="AA485" s="87"/>
      <c r="AB485" s="87" t="s">
        <v>78</v>
      </c>
      <c r="AC485" s="87"/>
      <c r="AD485" s="99">
        <v>46043.0</v>
      </c>
      <c r="AE485" s="100">
        <f t="shared" si="8"/>
        <v>1</v>
      </c>
    </row>
    <row r="486" ht="15.75" customHeight="1">
      <c r="A486" s="59" t="s">
        <v>1603</v>
      </c>
      <c r="B486" s="59" t="s">
        <v>101</v>
      </c>
      <c r="C486" s="60" t="s">
        <v>1604</v>
      </c>
      <c r="D486" s="60" t="s">
        <v>51</v>
      </c>
      <c r="E486" s="60">
        <v>3.0</v>
      </c>
      <c r="F486" s="72">
        <v>90.0</v>
      </c>
      <c r="G486" s="73" t="s">
        <v>53</v>
      </c>
      <c r="H486" s="74">
        <v>46143.0</v>
      </c>
      <c r="I486" s="67" t="s">
        <v>17</v>
      </c>
      <c r="J486" s="67" t="s">
        <v>54</v>
      </c>
      <c r="K486" s="67" t="s">
        <v>66</v>
      </c>
      <c r="L486" s="67" t="s">
        <v>56</v>
      </c>
      <c r="M486" s="73" t="s">
        <v>132</v>
      </c>
      <c r="N486" s="67" t="s">
        <v>58</v>
      </c>
      <c r="O486" s="67" t="s">
        <v>89</v>
      </c>
      <c r="P486" s="59"/>
      <c r="Q486" s="59" t="s">
        <v>113</v>
      </c>
      <c r="R486" s="76" t="s">
        <v>181</v>
      </c>
      <c r="S486" s="59"/>
      <c r="T486" s="59"/>
      <c r="U486" s="77" t="str">
        <f t="array" ref="U486">IFERROR(INDEX(DFD!$D$2:$D$1048791,MATCH($Q486,DFD!$B$2:$B$1048791,0)),"")</f>
        <v/>
      </c>
      <c r="V486" s="77" t="str">
        <f t="array" ref="V486">IFERROR(INDEX(DFD!$F$2:$F$1048791,MATCH($Q486,DFD!$B$2:$B$1048791,0)),"")</f>
        <v/>
      </c>
      <c r="W486" s="84" t="str">
        <f t="array" ref="W486">IFERROR(INDEX(DFD!$E$2:$E$1048791,MATCH($Q486,DFD!$B$2:$B$1048791,0)),"")</f>
        <v/>
      </c>
      <c r="X486" s="84" t="str">
        <f t="array" ref="X486">IFERROR(INDEX(DFD!$K$2:$K$1048791,MATCH($Q486,DFD!$B$2:$B$1048791,0)),"")</f>
        <v/>
      </c>
      <c r="Y486" s="84" t="str">
        <f t="array" ref="Y486">IFERROR(INDEX(DFD!$L$2:$L$1048790,MATCH($Q486,DFD!$B$2:$B$1048790,0)),"")</f>
        <v/>
      </c>
      <c r="Z486" s="84">
        <f t="shared" si="13"/>
        <v>45</v>
      </c>
      <c r="AA486" s="59"/>
      <c r="AB486" s="59" t="s">
        <v>78</v>
      </c>
      <c r="AC486" s="59"/>
      <c r="AD486" s="85">
        <v>46043.0</v>
      </c>
      <c r="AE486" s="86">
        <f t="shared" si="8"/>
        <v>1</v>
      </c>
    </row>
    <row r="487" ht="15.75" customHeight="1">
      <c r="A487" s="87" t="s">
        <v>1605</v>
      </c>
      <c r="B487" s="87" t="s">
        <v>355</v>
      </c>
      <c r="C487" s="88" t="s">
        <v>1604</v>
      </c>
      <c r="D487" s="88" t="s">
        <v>51</v>
      </c>
      <c r="E487" s="88">
        <v>6.0</v>
      </c>
      <c r="F487" s="89">
        <v>180.0</v>
      </c>
      <c r="G487" s="90" t="s">
        <v>53</v>
      </c>
      <c r="H487" s="91">
        <v>46143.0</v>
      </c>
      <c r="I487" s="92" t="s">
        <v>17</v>
      </c>
      <c r="J487" s="92" t="s">
        <v>54</v>
      </c>
      <c r="K487" s="92" t="s">
        <v>66</v>
      </c>
      <c r="L487" s="92" t="s">
        <v>56</v>
      </c>
      <c r="M487" s="90" t="s">
        <v>132</v>
      </c>
      <c r="N487" s="92" t="s">
        <v>58</v>
      </c>
      <c r="O487" s="87" t="s">
        <v>69</v>
      </c>
      <c r="P487" s="87"/>
      <c r="Q487" s="87" t="s">
        <v>780</v>
      </c>
      <c r="R487" s="93" t="s">
        <v>181</v>
      </c>
      <c r="S487" s="87"/>
      <c r="T487" s="87"/>
      <c r="U487" s="94" t="str">
        <f t="array" ref="U487">IFERROR(INDEX(DFD!$D$2:$D$1048791,MATCH($Q487,DFD!$B$2:$B$1048791,0)),"")</f>
        <v/>
      </c>
      <c r="V487" s="94" t="s">
        <v>280</v>
      </c>
      <c r="W487" s="97" t="str">
        <f t="array" ref="W487">IFERROR(INDEX(DFD!$E$2:$E$1048791,MATCH($Q487,DFD!$B$2:$B$1048791,0)),"")</f>
        <v/>
      </c>
      <c r="X487" s="97" t="str">
        <f t="array" ref="X487">IFERROR(INDEX(DFD!$K$2:$K$1048791,MATCH($Q487,DFD!$B$2:$B$1048791,0)),"")</f>
        <v/>
      </c>
      <c r="Y487" s="97" t="str">
        <f t="array" ref="Y487">IFERROR(INDEX(DFD!$L$2:$L$1048790,MATCH($Q487,DFD!$B$2:$B$1048790,0)),"")</f>
        <v/>
      </c>
      <c r="Z487" s="97">
        <f t="shared" si="13"/>
        <v>45</v>
      </c>
      <c r="AA487" s="87"/>
      <c r="AB487" s="87" t="s">
        <v>78</v>
      </c>
      <c r="AC487" s="87"/>
      <c r="AD487" s="99">
        <v>46043.0</v>
      </c>
      <c r="AE487" s="100">
        <f t="shared" si="8"/>
        <v>1</v>
      </c>
    </row>
    <row r="488" ht="15.75" customHeight="1">
      <c r="A488" s="67" t="s">
        <v>1606</v>
      </c>
      <c r="B488" s="59" t="s">
        <v>73</v>
      </c>
      <c r="C488" s="60" t="s">
        <v>1607</v>
      </c>
      <c r="D488" s="60" t="s">
        <v>51</v>
      </c>
      <c r="E488" s="60">
        <v>2.0</v>
      </c>
      <c r="F488" s="72">
        <v>351.8</v>
      </c>
      <c r="G488" s="73" t="s">
        <v>53</v>
      </c>
      <c r="H488" s="74">
        <v>46174.0</v>
      </c>
      <c r="I488" s="67" t="s">
        <v>17</v>
      </c>
      <c r="J488" s="67" t="s">
        <v>54</v>
      </c>
      <c r="K488" s="67" t="s">
        <v>66</v>
      </c>
      <c r="L488" s="67" t="s">
        <v>56</v>
      </c>
      <c r="M488" s="73" t="s">
        <v>112</v>
      </c>
      <c r="N488" s="67" t="s">
        <v>20</v>
      </c>
      <c r="O488" s="59" t="s">
        <v>69</v>
      </c>
      <c r="P488" s="59"/>
      <c r="Q488" s="59" t="s">
        <v>1356</v>
      </c>
      <c r="R488" s="76" t="s">
        <v>531</v>
      </c>
      <c r="S488" s="59"/>
      <c r="T488" s="59"/>
      <c r="U488" s="77" t="str">
        <f t="array" ref="U488">IFERROR(INDEX(DFD!$D$2:$D$1048791,MATCH($Q488,DFD!$B$2:$B$1048791,0)),"")</f>
        <v/>
      </c>
      <c r="V488" s="77" t="s">
        <v>280</v>
      </c>
      <c r="W488" s="84" t="str">
        <f t="array" ref="W488">IFERROR(INDEX(DFD!$E$2:$E$1048791,MATCH($Q488,DFD!$B$2:$B$1048791,0)),"")</f>
        <v/>
      </c>
      <c r="X488" s="84" t="str">
        <f t="array" ref="X488">IFERROR(INDEX(DFD!$K$2:$K$1048791,MATCH($Q488,DFD!$B$2:$B$1048791,0)),"")</f>
        <v/>
      </c>
      <c r="Y488" s="84" t="str">
        <f t="array" ref="Y488">IFERROR(INDEX(DFD!$L$2:$L$1048790,MATCH($Q488,DFD!$B$2:$B$1048790,0)),"")</f>
        <v/>
      </c>
      <c r="Z488" s="84">
        <f t="shared" si="13"/>
        <v>45</v>
      </c>
      <c r="AA488" s="59"/>
      <c r="AB488" s="59" t="s">
        <v>78</v>
      </c>
      <c r="AC488" s="59"/>
      <c r="AD488" s="85">
        <v>46043.0</v>
      </c>
      <c r="AE488" s="86">
        <f t="shared" si="8"/>
        <v>1</v>
      </c>
    </row>
    <row r="489" ht="15.75" customHeight="1">
      <c r="A489" s="87" t="s">
        <v>1608</v>
      </c>
      <c r="B489" s="87" t="s">
        <v>92</v>
      </c>
      <c r="C489" s="88" t="s">
        <v>1609</v>
      </c>
      <c r="D489" s="88" t="s">
        <v>51</v>
      </c>
      <c r="E489" s="88">
        <v>6.0</v>
      </c>
      <c r="F489" s="89">
        <v>900.0</v>
      </c>
      <c r="G489" s="90" t="s">
        <v>53</v>
      </c>
      <c r="H489" s="91">
        <v>46174.0</v>
      </c>
      <c r="I489" s="92" t="s">
        <v>17</v>
      </c>
      <c r="J489" s="92" t="s">
        <v>54</v>
      </c>
      <c r="K489" s="92" t="s">
        <v>66</v>
      </c>
      <c r="L489" s="92" t="s">
        <v>67</v>
      </c>
      <c r="M489" s="90" t="s">
        <v>57</v>
      </c>
      <c r="N489" s="92" t="s">
        <v>5</v>
      </c>
      <c r="O489" s="92" t="s">
        <v>89</v>
      </c>
      <c r="P489" s="87"/>
      <c r="Q489" s="87" t="s">
        <v>1569</v>
      </c>
      <c r="R489" s="93" t="s">
        <v>269</v>
      </c>
      <c r="S489" s="87"/>
      <c r="T489" s="87"/>
      <c r="U489" s="94" t="str">
        <f t="array" ref="U489">IFERROR(INDEX(DFD!$D$2:$D$1048791,MATCH($Q489,DFD!$B$2:$B$1048791,0)),"")</f>
        <v/>
      </c>
      <c r="V489" s="94" t="str">
        <f t="array" ref="V489">IFERROR(INDEX(DFD!$F$2:$F$1048791,MATCH($Q489,DFD!$B$2:$B$1048791,0)),"")</f>
        <v/>
      </c>
      <c r="W489" s="97" t="str">
        <f t="array" ref="W489">IFERROR(INDEX(DFD!$E$2:$E$1048791,MATCH($Q489,DFD!$B$2:$B$1048791,0)),"")</f>
        <v/>
      </c>
      <c r="X489" s="97" t="str">
        <f t="array" ref="X489">IFERROR(INDEX(DFD!$K$2:$K$1048791,MATCH($Q489,DFD!$B$2:$B$1048791,0)),"")</f>
        <v/>
      </c>
      <c r="Y489" s="97" t="str">
        <f t="array" ref="Y489">IFERROR(INDEX(DFD!$L$2:$L$1048790,MATCH($Q489,DFD!$B$2:$B$1048790,0)),"")</f>
        <v/>
      </c>
      <c r="Z489" s="97">
        <f t="shared" si="13"/>
        <v>45</v>
      </c>
      <c r="AA489" s="87"/>
      <c r="AB489" s="87" t="s">
        <v>78</v>
      </c>
      <c r="AC489" s="87"/>
      <c r="AD489" s="99">
        <v>46043.0</v>
      </c>
      <c r="AE489" s="100">
        <f t="shared" si="8"/>
        <v>1</v>
      </c>
    </row>
    <row r="490" ht="15.75" customHeight="1">
      <c r="A490" s="67" t="s">
        <v>1610</v>
      </c>
      <c r="B490" s="59" t="s">
        <v>184</v>
      </c>
      <c r="C490" s="60" t="s">
        <v>1611</v>
      </c>
      <c r="D490" s="60" t="s">
        <v>51</v>
      </c>
      <c r="E490" s="60">
        <v>100.0</v>
      </c>
      <c r="F490" s="72">
        <v>1080.0</v>
      </c>
      <c r="G490" s="73" t="s">
        <v>53</v>
      </c>
      <c r="H490" s="74">
        <v>46174.0</v>
      </c>
      <c r="I490" s="67" t="s">
        <v>17</v>
      </c>
      <c r="J490" s="67" t="s">
        <v>54</v>
      </c>
      <c r="K490" s="67" t="s">
        <v>66</v>
      </c>
      <c r="L490" s="67" t="s">
        <v>67</v>
      </c>
      <c r="M490" s="73" t="s">
        <v>117</v>
      </c>
      <c r="N490" s="67" t="s">
        <v>20</v>
      </c>
      <c r="O490" s="59" t="s">
        <v>69</v>
      </c>
      <c r="P490" s="59"/>
      <c r="Q490" s="59" t="s">
        <v>286</v>
      </c>
      <c r="R490" s="76" t="s">
        <v>287</v>
      </c>
      <c r="S490" s="59"/>
      <c r="T490" s="59"/>
      <c r="U490" s="77" t="str">
        <f t="array" ref="U490">IFERROR(INDEX(DFD!$D$2:$D$1048791,MATCH($Q490,DFD!$B$2:$B$1048791,0)),"")</f>
        <v/>
      </c>
      <c r="V490" s="77" t="str">
        <f t="array" ref="V490">IFERROR(INDEX(DFD!$F$2:$F$1048791,MATCH($Q490,DFD!$B$2:$B$1048791,0)),"")</f>
        <v/>
      </c>
      <c r="W490" s="84" t="str">
        <f t="array" ref="W490">IFERROR(INDEX(DFD!$E$2:$E$1048791,MATCH($Q490,DFD!$B$2:$B$1048791,0)),"")</f>
        <v/>
      </c>
      <c r="X490" s="84" t="str">
        <f t="array" ref="X490">IFERROR(INDEX(DFD!$K$2:$K$1048791,MATCH($Q490,DFD!$B$2:$B$1048791,0)),"")</f>
        <v/>
      </c>
      <c r="Y490" s="84" t="str">
        <f t="array" ref="Y490">IFERROR(INDEX(DFD!$L$2:$L$1048790,MATCH($Q490,DFD!$B$2:$B$1048790,0)),"")</f>
        <v/>
      </c>
      <c r="Z490" s="84">
        <f t="shared" si="13"/>
        <v>45</v>
      </c>
      <c r="AA490" s="59"/>
      <c r="AB490" s="59" t="s">
        <v>288</v>
      </c>
      <c r="AC490" s="59"/>
      <c r="AD490" s="85">
        <v>46043.0</v>
      </c>
      <c r="AE490" s="86">
        <f t="shared" si="8"/>
        <v>1</v>
      </c>
    </row>
    <row r="491" ht="15.75" customHeight="1">
      <c r="A491" s="92" t="s">
        <v>1612</v>
      </c>
      <c r="B491" s="87" t="s">
        <v>184</v>
      </c>
      <c r="C491" s="88" t="s">
        <v>1613</v>
      </c>
      <c r="D491" s="88" t="s">
        <v>51</v>
      </c>
      <c r="E491" s="88">
        <v>100.0</v>
      </c>
      <c r="F491" s="89">
        <v>2200.0</v>
      </c>
      <c r="G491" s="90" t="s">
        <v>53</v>
      </c>
      <c r="H491" s="91">
        <v>46174.0</v>
      </c>
      <c r="I491" s="92" t="s">
        <v>17</v>
      </c>
      <c r="J491" s="92" t="s">
        <v>54</v>
      </c>
      <c r="K491" s="92" t="s">
        <v>66</v>
      </c>
      <c r="L491" s="92" t="s">
        <v>67</v>
      </c>
      <c r="M491" s="90" t="s">
        <v>132</v>
      </c>
      <c r="N491" s="92" t="s">
        <v>20</v>
      </c>
      <c r="O491" s="87" t="s">
        <v>69</v>
      </c>
      <c r="P491" s="87"/>
      <c r="Q491" s="87" t="s">
        <v>1399</v>
      </c>
      <c r="R491" s="93" t="s">
        <v>187</v>
      </c>
      <c r="S491" s="87"/>
      <c r="T491" s="87"/>
      <c r="U491" s="94" t="str">
        <f t="array" ref="U491">IFERROR(INDEX(DFD!$D$2:$D$1048791,MATCH($Q491,DFD!$B$2:$B$1048791,0)),"")</f>
        <v/>
      </c>
      <c r="V491" s="94" t="str">
        <f t="array" ref="V491">IFERROR(INDEX(DFD!$F$2:$F$1048791,MATCH($Q491,DFD!$B$2:$B$1048791,0)),"")</f>
        <v/>
      </c>
      <c r="W491" s="97" t="str">
        <f t="array" ref="W491">IFERROR(INDEX(DFD!$E$2:$E$1048791,MATCH($Q491,DFD!$B$2:$B$1048791,0)),"")</f>
        <v/>
      </c>
      <c r="X491" s="97" t="str">
        <f t="array" ref="X491">IFERROR(INDEX(DFD!$K$2:$K$1048791,MATCH($Q491,DFD!$B$2:$B$1048791,0)),"")</f>
        <v/>
      </c>
      <c r="Y491" s="97" t="str">
        <f t="array" ref="Y491">IFERROR(INDEX(DFD!$L$2:$L$1048790,MATCH($Q491,DFD!$B$2:$B$1048790,0)),"")</f>
        <v/>
      </c>
      <c r="Z491" s="97">
        <f t="shared" si="13"/>
        <v>45</v>
      </c>
      <c r="AA491" s="87"/>
      <c r="AB491" s="87" t="s">
        <v>78</v>
      </c>
      <c r="AC491" s="87"/>
      <c r="AD491" s="99">
        <v>46043.0</v>
      </c>
      <c r="AE491" s="100">
        <f t="shared" si="8"/>
        <v>1</v>
      </c>
    </row>
    <row r="492" ht="15.75" customHeight="1">
      <c r="A492" s="59" t="s">
        <v>1614</v>
      </c>
      <c r="B492" s="59" t="s">
        <v>101</v>
      </c>
      <c r="C492" s="60" t="s">
        <v>1615</v>
      </c>
      <c r="D492" s="60" t="s">
        <v>51</v>
      </c>
      <c r="E492" s="60">
        <v>45.0</v>
      </c>
      <c r="F492" s="72">
        <v>5940.0</v>
      </c>
      <c r="G492" s="73" t="s">
        <v>53</v>
      </c>
      <c r="H492" s="74">
        <v>46204.0</v>
      </c>
      <c r="I492" s="67" t="s">
        <v>17</v>
      </c>
      <c r="J492" s="67" t="s">
        <v>54</v>
      </c>
      <c r="K492" s="67" t="s">
        <v>66</v>
      </c>
      <c r="L492" s="67" t="s">
        <v>56</v>
      </c>
      <c r="M492" s="73" t="s">
        <v>132</v>
      </c>
      <c r="N492" s="67" t="s">
        <v>58</v>
      </c>
      <c r="O492" s="67" t="s">
        <v>89</v>
      </c>
      <c r="P492" s="59"/>
      <c r="Q492" s="59" t="s">
        <v>756</v>
      </c>
      <c r="R492" s="76" t="s">
        <v>71</v>
      </c>
      <c r="S492" s="59"/>
      <c r="T492" s="59"/>
      <c r="U492" s="77" t="s">
        <v>668</v>
      </c>
      <c r="V492" s="77" t="str">
        <f t="array" ref="V492">IFERROR(INDEX(DFD!$F$2:$F$1048791,MATCH($Q492,DFD!$B$2:$B$1048791,0)),"")</f>
        <v/>
      </c>
      <c r="W492" s="84" t="str">
        <f t="array" ref="W492">IFERROR(INDEX(DFD!$E$2:$E$1048791,MATCH($Q492,DFD!$B$2:$B$1048791,0)),"")</f>
        <v/>
      </c>
      <c r="X492" s="84" t="str">
        <f t="array" ref="X492">IFERROR(INDEX(DFD!$K$2:$K$1048791,MATCH($Q492,DFD!$B$2:$B$1048791,0)),"")</f>
        <v/>
      </c>
      <c r="Y492" s="84" t="str">
        <f t="array" ref="Y492">IFERROR(INDEX(DFD!$L$2:$L$1048790,MATCH($Q492,DFD!$B$2:$B$1048790,0)),"")</f>
        <v/>
      </c>
      <c r="Z492" s="84">
        <f t="shared" si="13"/>
        <v>45</v>
      </c>
      <c r="AA492" s="59"/>
      <c r="AB492" s="59" t="s">
        <v>78</v>
      </c>
      <c r="AC492" s="59"/>
      <c r="AD492" s="85">
        <v>46043.0</v>
      </c>
      <c r="AE492" s="86">
        <f t="shared" si="8"/>
        <v>1</v>
      </c>
    </row>
    <row r="493" ht="15.75" customHeight="1">
      <c r="A493" s="87" t="s">
        <v>1616</v>
      </c>
      <c r="B493" s="87" t="s">
        <v>101</v>
      </c>
      <c r="C493" s="88" t="s">
        <v>1617</v>
      </c>
      <c r="D493" s="88" t="s">
        <v>51</v>
      </c>
      <c r="E493" s="88">
        <v>67.0</v>
      </c>
      <c r="F493" s="89">
        <v>8643.0</v>
      </c>
      <c r="G493" s="90" t="s">
        <v>53</v>
      </c>
      <c r="H493" s="91">
        <v>46204.0</v>
      </c>
      <c r="I493" s="92" t="s">
        <v>17</v>
      </c>
      <c r="J493" s="92" t="s">
        <v>54</v>
      </c>
      <c r="K493" s="92" t="s">
        <v>1618</v>
      </c>
      <c r="L493" s="92" t="s">
        <v>67</v>
      </c>
      <c r="M493" s="90" t="s">
        <v>104</v>
      </c>
      <c r="N493" s="92" t="s">
        <v>5</v>
      </c>
      <c r="O493" s="87" t="s">
        <v>69</v>
      </c>
      <c r="P493" s="87"/>
      <c r="Q493" s="87" t="s">
        <v>1619</v>
      </c>
      <c r="R493" s="93" t="s">
        <v>1620</v>
      </c>
      <c r="S493" s="87"/>
      <c r="T493" s="87"/>
      <c r="U493" s="94" t="str">
        <f t="array" ref="U493">IFERROR(INDEX(DFD!$D$2:$D$1048791,MATCH($Q493,DFD!$B$2:$B$1048791,0)),"")</f>
        <v/>
      </c>
      <c r="V493" s="94" t="str">
        <f t="array" ref="V493">IFERROR(INDEX(DFD!$F$2:$F$1048791,MATCH($Q493,DFD!$B$2:$B$1048791,0)),"")</f>
        <v/>
      </c>
      <c r="W493" s="97" t="str">
        <f t="array" ref="W493">IFERROR(INDEX(DFD!$E$2:$E$1048791,MATCH($Q493,DFD!$B$2:$B$1048791,0)),"")</f>
        <v/>
      </c>
      <c r="X493" s="97" t="str">
        <f t="array" ref="X493">IFERROR(INDEX(DFD!$K$2:$K$1048791,MATCH($Q493,DFD!$B$2:$B$1048791,0)),"")</f>
        <v/>
      </c>
      <c r="Y493" s="97" t="str">
        <f t="array" ref="Y493">IFERROR(INDEX(DFD!$L$2:$L$1048790,MATCH($Q493,DFD!$B$2:$B$1048790,0)),"")</f>
        <v/>
      </c>
      <c r="Z493" s="97">
        <f t="shared" si="13"/>
        <v>45</v>
      </c>
      <c r="AA493" s="87"/>
      <c r="AB493" s="87" t="s">
        <v>288</v>
      </c>
      <c r="AC493" s="87"/>
      <c r="AD493" s="99">
        <v>46043.0</v>
      </c>
      <c r="AE493" s="100">
        <f t="shared" si="8"/>
        <v>1</v>
      </c>
    </row>
    <row r="494" ht="15.75" customHeight="1">
      <c r="A494" s="59" t="s">
        <v>1621</v>
      </c>
      <c r="B494" s="59" t="s">
        <v>101</v>
      </c>
      <c r="C494" s="60" t="s">
        <v>1622</v>
      </c>
      <c r="D494" s="60" t="s">
        <v>51</v>
      </c>
      <c r="E494" s="60">
        <v>30.0</v>
      </c>
      <c r="F494" s="72">
        <v>4620.0</v>
      </c>
      <c r="G494" s="73" t="s">
        <v>53</v>
      </c>
      <c r="H494" s="74">
        <v>46204.0</v>
      </c>
      <c r="I494" s="67" t="s">
        <v>17</v>
      </c>
      <c r="J494" s="67" t="s">
        <v>54</v>
      </c>
      <c r="K494" s="67" t="s">
        <v>1618</v>
      </c>
      <c r="L494" s="67" t="s">
        <v>67</v>
      </c>
      <c r="M494" s="73" t="s">
        <v>104</v>
      </c>
      <c r="N494" s="67" t="s">
        <v>5</v>
      </c>
      <c r="O494" s="59" t="s">
        <v>69</v>
      </c>
      <c r="P494" s="59"/>
      <c r="Q494" s="59" t="s">
        <v>1619</v>
      </c>
      <c r="R494" s="76" t="s">
        <v>1620</v>
      </c>
      <c r="S494" s="59"/>
      <c r="T494" s="59"/>
      <c r="U494" s="77" t="str">
        <f t="array" ref="U494">IFERROR(INDEX(DFD!$D$2:$D$1048791,MATCH($Q494,DFD!$B$2:$B$1048791,0)),"")</f>
        <v/>
      </c>
      <c r="V494" s="77" t="str">
        <f t="array" ref="V494">IFERROR(INDEX(DFD!$F$2:$F$1048791,MATCH($Q494,DFD!$B$2:$B$1048791,0)),"")</f>
        <v/>
      </c>
      <c r="W494" s="84" t="str">
        <f t="array" ref="W494">IFERROR(INDEX(DFD!$E$2:$E$1048791,MATCH($Q494,DFD!$B$2:$B$1048791,0)),"")</f>
        <v/>
      </c>
      <c r="X494" s="84" t="str">
        <f t="array" ref="X494">IFERROR(INDEX(DFD!$K$2:$K$1048791,MATCH($Q494,DFD!$B$2:$B$1048791,0)),"")</f>
        <v/>
      </c>
      <c r="Y494" s="84" t="str">
        <f t="array" ref="Y494">IFERROR(INDEX(DFD!$L$2:$L$1048790,MATCH($Q494,DFD!$B$2:$B$1048790,0)),"")</f>
        <v/>
      </c>
      <c r="Z494" s="84">
        <f t="shared" si="13"/>
        <v>45</v>
      </c>
      <c r="AA494" s="59"/>
      <c r="AB494" s="59" t="s">
        <v>288</v>
      </c>
      <c r="AC494" s="59"/>
      <c r="AD494" s="85">
        <v>46043.0</v>
      </c>
      <c r="AE494" s="86">
        <f t="shared" si="8"/>
        <v>1</v>
      </c>
    </row>
    <row r="495" ht="15.75" customHeight="1">
      <c r="A495" s="87" t="s">
        <v>1623</v>
      </c>
      <c r="B495" s="87" t="s">
        <v>101</v>
      </c>
      <c r="C495" s="88" t="s">
        <v>1624</v>
      </c>
      <c r="D495" s="88" t="s">
        <v>51</v>
      </c>
      <c r="E495" s="88">
        <v>206.0</v>
      </c>
      <c r="F495" s="89">
        <v>30900.0</v>
      </c>
      <c r="G495" s="90" t="s">
        <v>53</v>
      </c>
      <c r="H495" s="91">
        <v>46235.0</v>
      </c>
      <c r="I495" s="92" t="s">
        <v>17</v>
      </c>
      <c r="J495" s="92" t="s">
        <v>54</v>
      </c>
      <c r="K495" s="92" t="s">
        <v>55</v>
      </c>
      <c r="L495" s="92" t="s">
        <v>67</v>
      </c>
      <c r="M495" s="90" t="s">
        <v>104</v>
      </c>
      <c r="N495" s="92" t="s">
        <v>5</v>
      </c>
      <c r="O495" s="92" t="s">
        <v>89</v>
      </c>
      <c r="P495" s="87"/>
      <c r="Q495" s="87" t="s">
        <v>467</v>
      </c>
      <c r="R495" s="93" t="s">
        <v>1620</v>
      </c>
      <c r="S495" s="87"/>
      <c r="T495" s="87"/>
      <c r="U495" s="94" t="s">
        <v>1625</v>
      </c>
      <c r="V495" s="94" t="s">
        <v>101</v>
      </c>
      <c r="W495" s="97" t="str">
        <f t="array" ref="W495">IFERROR(INDEX(DFD!$E$2:$E$1048791,MATCH($Q495,DFD!$B$2:$B$1048791,0)),"")</f>
        <v/>
      </c>
      <c r="X495" s="97" t="str">
        <f t="array" ref="X495">IFERROR(INDEX(DFD!$K$2:$K$1048791,MATCH($Q495,DFD!$B$2:$B$1048791,0)),"")</f>
        <v/>
      </c>
      <c r="Y495" s="97" t="str">
        <f t="array" ref="Y495">IFERROR(INDEX(DFD!$L$2:$L$1048790,MATCH($Q495,DFD!$B$2:$B$1048790,0)),"")</f>
        <v/>
      </c>
      <c r="Z495" s="97">
        <f t="shared" si="13"/>
        <v>45</v>
      </c>
      <c r="AA495" s="87"/>
      <c r="AB495" s="87" t="s">
        <v>288</v>
      </c>
      <c r="AC495" s="87"/>
      <c r="AD495" s="99">
        <v>46043.0</v>
      </c>
      <c r="AE495" s="100">
        <f t="shared" si="8"/>
        <v>1</v>
      </c>
    </row>
    <row r="496" ht="15.75" customHeight="1">
      <c r="A496" s="59" t="s">
        <v>1626</v>
      </c>
      <c r="B496" s="67" t="s">
        <v>101</v>
      </c>
      <c r="C496" s="60" t="s">
        <v>1627</v>
      </c>
      <c r="D496" s="81" t="s">
        <v>51</v>
      </c>
      <c r="E496" s="81">
        <v>4.0</v>
      </c>
      <c r="F496" s="101">
        <v>12000.0</v>
      </c>
      <c r="G496" s="73" t="s">
        <v>53</v>
      </c>
      <c r="H496" s="83">
        <v>46235.0</v>
      </c>
      <c r="I496" s="67" t="s">
        <v>18</v>
      </c>
      <c r="J496" s="67" t="s">
        <v>54</v>
      </c>
      <c r="K496" s="67" t="s">
        <v>83</v>
      </c>
      <c r="L496" s="67" t="s">
        <v>56</v>
      </c>
      <c r="M496" s="73" t="s">
        <v>104</v>
      </c>
      <c r="N496" s="67" t="s">
        <v>58</v>
      </c>
      <c r="O496" s="59" t="s">
        <v>69</v>
      </c>
      <c r="P496" s="59"/>
      <c r="Q496" s="59" t="s">
        <v>1628</v>
      </c>
      <c r="R496" s="76" t="s">
        <v>442</v>
      </c>
      <c r="S496" s="59"/>
      <c r="T496" s="59"/>
      <c r="U496" s="77" t="str">
        <f t="array" ref="U496">IFERROR(INDEX(DFD!$D$2:$D$1048791,MATCH($Q496,DFD!$B$2:$B$1048791,0)),"")</f>
        <v/>
      </c>
      <c r="V496" s="77" t="str">
        <f t="array" ref="V496">IFERROR(INDEX(DFD!$F$2:$F$1048791,MATCH($Q496,DFD!$B$2:$B$1048791,0)),"")</f>
        <v/>
      </c>
      <c r="W496" s="84" t="str">
        <f t="array" ref="W496">IFERROR(INDEX(DFD!$E$2:$E$1048791,MATCH($Q496,DFD!$B$2:$B$1048791,0)),"")</f>
        <v/>
      </c>
      <c r="X496" s="84" t="str">
        <f t="array" ref="X496">IFERROR(INDEX(DFD!$K$2:$K$1048791,MATCH($Q496,DFD!$B$2:$B$1048791,0)),"")</f>
        <v/>
      </c>
      <c r="Y496" s="84" t="str">
        <f t="array" ref="Y496">IFERROR(INDEX(DFD!$L$2:$L$1048790,MATCH($Q496,DFD!$B$2:$B$1048790,0)),"")</f>
        <v/>
      </c>
      <c r="Z496" s="84">
        <f t="shared" si="13"/>
        <v>45</v>
      </c>
      <c r="AA496" s="59"/>
      <c r="AB496" s="59" t="s">
        <v>78</v>
      </c>
      <c r="AC496" s="59"/>
      <c r="AD496" s="85">
        <v>46043.0</v>
      </c>
      <c r="AE496" s="86">
        <f t="shared" si="8"/>
        <v>1</v>
      </c>
    </row>
    <row r="497" ht="15.75" customHeight="1">
      <c r="A497" s="87" t="s">
        <v>1629</v>
      </c>
      <c r="B497" s="87" t="s">
        <v>148</v>
      </c>
      <c r="C497" s="88" t="s">
        <v>1630</v>
      </c>
      <c r="D497" s="88" t="s">
        <v>51</v>
      </c>
      <c r="E497" s="88">
        <v>5.0</v>
      </c>
      <c r="F497" s="89">
        <v>385.0</v>
      </c>
      <c r="G497" s="90" t="s">
        <v>53</v>
      </c>
      <c r="H497" s="91">
        <v>46174.0</v>
      </c>
      <c r="I497" s="92" t="s">
        <v>17</v>
      </c>
      <c r="J497" s="92" t="s">
        <v>54</v>
      </c>
      <c r="K497" s="92" t="s">
        <v>66</v>
      </c>
      <c r="L497" s="92" t="s">
        <v>67</v>
      </c>
      <c r="M497" s="90" t="s">
        <v>57</v>
      </c>
      <c r="N497" s="92" t="s">
        <v>5</v>
      </c>
      <c r="O497" s="87" t="s">
        <v>69</v>
      </c>
      <c r="P497" s="87"/>
      <c r="Q497" s="87" t="s">
        <v>331</v>
      </c>
      <c r="R497" s="93" t="s">
        <v>1631</v>
      </c>
      <c r="S497" s="87"/>
      <c r="T497" s="87"/>
      <c r="U497" s="94" t="str">
        <f t="array" ref="U497">IFERROR(INDEX(DFD!$D$2:$D$1048791,MATCH($Q497,DFD!$B$2:$B$1048791,0)),"")</f>
        <v/>
      </c>
      <c r="V497" s="94" t="str">
        <f t="array" ref="V497">IFERROR(INDEX(DFD!$F$2:$F$1048791,MATCH($Q497,DFD!$B$2:$B$1048791,0)),"")</f>
        <v/>
      </c>
      <c r="W497" s="97" t="str">
        <f t="array" ref="W497">IFERROR(INDEX(DFD!$E$2:$E$1048791,MATCH($Q497,DFD!$B$2:$B$1048791,0)),"")</f>
        <v/>
      </c>
      <c r="X497" s="97" t="str">
        <f t="array" ref="X497">IFERROR(INDEX(DFD!$K$2:$K$1048791,MATCH($Q497,DFD!$B$2:$B$1048791,0)),"")</f>
        <v/>
      </c>
      <c r="Y497" s="97" t="str">
        <f t="array" ref="Y497">IFERROR(INDEX(DFD!$L$2:$L$1048790,MATCH($Q497,DFD!$B$2:$B$1048790,0)),"")</f>
        <v/>
      </c>
      <c r="Z497" s="97">
        <f t="shared" si="13"/>
        <v>45</v>
      </c>
      <c r="AA497" s="87"/>
      <c r="AB497" s="87" t="s">
        <v>78</v>
      </c>
      <c r="AC497" s="87"/>
      <c r="AD497" s="99">
        <v>46043.0</v>
      </c>
      <c r="AE497" s="100">
        <f t="shared" si="8"/>
        <v>1</v>
      </c>
    </row>
    <row r="498" ht="15.75" customHeight="1">
      <c r="A498" s="59" t="s">
        <v>1632</v>
      </c>
      <c r="B498" s="59" t="s">
        <v>148</v>
      </c>
      <c r="C498" s="60" t="s">
        <v>1633</v>
      </c>
      <c r="D498" s="60" t="s">
        <v>51</v>
      </c>
      <c r="E498" s="60">
        <v>5.0</v>
      </c>
      <c r="F498" s="72">
        <v>101.85</v>
      </c>
      <c r="G498" s="73" t="s">
        <v>53</v>
      </c>
      <c r="H498" s="74">
        <v>46143.0</v>
      </c>
      <c r="I498" s="67" t="s">
        <v>17</v>
      </c>
      <c r="J498" s="67" t="s">
        <v>54</v>
      </c>
      <c r="K498" s="67" t="s">
        <v>66</v>
      </c>
      <c r="L498" s="67" t="s">
        <v>67</v>
      </c>
      <c r="M498" s="73" t="s">
        <v>117</v>
      </c>
      <c r="N498" s="67" t="s">
        <v>5</v>
      </c>
      <c r="O498" s="67" t="s">
        <v>89</v>
      </c>
      <c r="P498" s="59"/>
      <c r="Q498" s="59" t="s">
        <v>331</v>
      </c>
      <c r="R498" s="76" t="s">
        <v>1631</v>
      </c>
      <c r="S498" s="59"/>
      <c r="T498" s="59"/>
      <c r="U498" s="77" t="str">
        <f t="array" ref="U498">IFERROR(INDEX(DFD!$D$2:$D$1048791,MATCH($Q498,DFD!$B$2:$B$1048791,0)),"")</f>
        <v/>
      </c>
      <c r="V498" s="77" t="str">
        <f t="array" ref="V498">IFERROR(INDEX(DFD!$F$2:$F$1048791,MATCH($Q498,DFD!$B$2:$B$1048791,0)),"")</f>
        <v/>
      </c>
      <c r="W498" s="84" t="str">
        <f t="array" ref="W498">IFERROR(INDEX(DFD!$E$2:$E$1048791,MATCH($Q498,DFD!$B$2:$B$1048791,0)),"")</f>
        <v/>
      </c>
      <c r="X498" s="84" t="str">
        <f t="array" ref="X498">IFERROR(INDEX(DFD!$K$2:$K$1048791,MATCH($Q498,DFD!$B$2:$B$1048791,0)),"")</f>
        <v/>
      </c>
      <c r="Y498" s="84" t="str">
        <f t="array" ref="Y498">IFERROR(INDEX(DFD!$L$2:$L$1048790,MATCH($Q498,DFD!$B$2:$B$1048790,0)),"")</f>
        <v/>
      </c>
      <c r="Z498" s="84">
        <f t="shared" si="13"/>
        <v>45</v>
      </c>
      <c r="AA498" s="59"/>
      <c r="AB498" s="59" t="s">
        <v>78</v>
      </c>
      <c r="AC498" s="59"/>
      <c r="AD498" s="85">
        <v>46043.0</v>
      </c>
      <c r="AE498" s="86">
        <f t="shared" si="8"/>
        <v>1</v>
      </c>
    </row>
    <row r="499" ht="15.75" customHeight="1">
      <c r="A499" s="87" t="s">
        <v>1634</v>
      </c>
      <c r="B499" s="87" t="s">
        <v>148</v>
      </c>
      <c r="C499" s="88" t="s">
        <v>1635</v>
      </c>
      <c r="D499" s="88" t="s">
        <v>51</v>
      </c>
      <c r="E499" s="88">
        <v>5.0</v>
      </c>
      <c r="F499" s="89">
        <v>350.0</v>
      </c>
      <c r="G499" s="90" t="s">
        <v>53</v>
      </c>
      <c r="H499" s="91">
        <v>46174.0</v>
      </c>
      <c r="I499" s="92" t="s">
        <v>17</v>
      </c>
      <c r="J499" s="92" t="s">
        <v>54</v>
      </c>
      <c r="K499" s="92" t="s">
        <v>66</v>
      </c>
      <c r="L499" s="92" t="s">
        <v>67</v>
      </c>
      <c r="M499" s="90" t="s">
        <v>57</v>
      </c>
      <c r="N499" s="92" t="s">
        <v>5</v>
      </c>
      <c r="O499" s="87" t="s">
        <v>69</v>
      </c>
      <c r="P499" s="87"/>
      <c r="Q499" s="87" t="s">
        <v>331</v>
      </c>
      <c r="R499" s="93" t="s">
        <v>1631</v>
      </c>
      <c r="S499" s="87"/>
      <c r="T499" s="87"/>
      <c r="U499" s="94" t="str">
        <f t="array" ref="U499">IFERROR(INDEX(DFD!$D$2:$D$1048791,MATCH($Q499,DFD!$B$2:$B$1048791,0)),"")</f>
        <v/>
      </c>
      <c r="V499" s="94" t="str">
        <f t="array" ref="V499">IFERROR(INDEX(DFD!$F$2:$F$1048791,MATCH($Q499,DFD!$B$2:$B$1048791,0)),"")</f>
        <v/>
      </c>
      <c r="W499" s="97" t="str">
        <f t="array" ref="W499">IFERROR(INDEX(DFD!$E$2:$E$1048791,MATCH($Q499,DFD!$B$2:$B$1048791,0)),"")</f>
        <v/>
      </c>
      <c r="X499" s="97" t="str">
        <f t="array" ref="X499">IFERROR(INDEX(DFD!$K$2:$K$1048791,MATCH($Q499,DFD!$B$2:$B$1048791,0)),"")</f>
        <v/>
      </c>
      <c r="Y499" s="97" t="str">
        <f t="array" ref="Y499">IFERROR(INDEX(DFD!$L$2:$L$1048790,MATCH($Q499,DFD!$B$2:$B$1048790,0)),"")</f>
        <v/>
      </c>
      <c r="Z499" s="97">
        <f t="shared" si="13"/>
        <v>45</v>
      </c>
      <c r="AA499" s="87"/>
      <c r="AB499" s="87" t="s">
        <v>78</v>
      </c>
      <c r="AC499" s="87"/>
      <c r="AD499" s="99">
        <v>46043.0</v>
      </c>
      <c r="AE499" s="100">
        <f t="shared" si="8"/>
        <v>1</v>
      </c>
    </row>
    <row r="500" ht="15.75" customHeight="1">
      <c r="A500" s="59" t="s">
        <v>1636</v>
      </c>
      <c r="B500" s="59" t="s">
        <v>148</v>
      </c>
      <c r="C500" s="60" t="s">
        <v>1637</v>
      </c>
      <c r="D500" s="60" t="s">
        <v>51</v>
      </c>
      <c r="E500" s="60">
        <v>5.0</v>
      </c>
      <c r="F500" s="72">
        <v>189.5</v>
      </c>
      <c r="G500" s="73" t="s">
        <v>53</v>
      </c>
      <c r="H500" s="74">
        <v>46143.0</v>
      </c>
      <c r="I500" s="67" t="s">
        <v>17</v>
      </c>
      <c r="J500" s="67" t="s">
        <v>54</v>
      </c>
      <c r="K500" s="67" t="s">
        <v>66</v>
      </c>
      <c r="L500" s="67" t="s">
        <v>67</v>
      </c>
      <c r="M500" s="73" t="s">
        <v>117</v>
      </c>
      <c r="N500" s="67" t="s">
        <v>5</v>
      </c>
      <c r="O500" s="59" t="s">
        <v>69</v>
      </c>
      <c r="P500" s="59"/>
      <c r="Q500" s="59" t="s">
        <v>331</v>
      </c>
      <c r="R500" s="76" t="s">
        <v>1631</v>
      </c>
      <c r="S500" s="59"/>
      <c r="T500" s="59"/>
      <c r="U500" s="77" t="str">
        <f t="array" ref="U500">IFERROR(INDEX(DFD!$D$2:$D$1048791,MATCH($Q500,DFD!$B$2:$B$1048791,0)),"")</f>
        <v/>
      </c>
      <c r="V500" s="77" t="str">
        <f t="array" ref="V500">IFERROR(INDEX(DFD!$F$2:$F$1048791,MATCH($Q500,DFD!$B$2:$B$1048791,0)),"")</f>
        <v/>
      </c>
      <c r="W500" s="84" t="str">
        <f t="array" ref="W500">IFERROR(INDEX(DFD!$E$2:$E$1048791,MATCH($Q500,DFD!$B$2:$B$1048791,0)),"")</f>
        <v/>
      </c>
      <c r="X500" s="84" t="str">
        <f t="array" ref="X500">IFERROR(INDEX(DFD!$K$2:$K$1048791,MATCH($Q500,DFD!$B$2:$B$1048791,0)),"")</f>
        <v/>
      </c>
      <c r="Y500" s="84" t="str">
        <f t="array" ref="Y500">IFERROR(INDEX(DFD!$L$2:$L$1048790,MATCH($Q500,DFD!$B$2:$B$1048790,0)),"")</f>
        <v/>
      </c>
      <c r="Z500" s="84">
        <f t="shared" si="13"/>
        <v>45</v>
      </c>
      <c r="AA500" s="59"/>
      <c r="AB500" s="59" t="s">
        <v>78</v>
      </c>
      <c r="AC500" s="59"/>
      <c r="AD500" s="85">
        <v>46043.0</v>
      </c>
      <c r="AE500" s="86">
        <f t="shared" si="8"/>
        <v>1</v>
      </c>
    </row>
    <row r="501" ht="15.75" customHeight="1">
      <c r="A501" s="87" t="s">
        <v>1638</v>
      </c>
      <c r="B501" s="87" t="s">
        <v>148</v>
      </c>
      <c r="C501" s="88" t="s">
        <v>1639</v>
      </c>
      <c r="D501" s="88" t="s">
        <v>51</v>
      </c>
      <c r="E501" s="88">
        <v>5.0</v>
      </c>
      <c r="F501" s="89">
        <v>332.0</v>
      </c>
      <c r="G501" s="90" t="s">
        <v>53</v>
      </c>
      <c r="H501" s="91">
        <v>46174.0</v>
      </c>
      <c r="I501" s="92" t="s">
        <v>17</v>
      </c>
      <c r="J501" s="92" t="s">
        <v>54</v>
      </c>
      <c r="K501" s="92" t="s">
        <v>66</v>
      </c>
      <c r="L501" s="92" t="s">
        <v>67</v>
      </c>
      <c r="M501" s="90" t="s">
        <v>57</v>
      </c>
      <c r="N501" s="92" t="s">
        <v>5</v>
      </c>
      <c r="O501" s="92" t="s">
        <v>89</v>
      </c>
      <c r="P501" s="87"/>
      <c r="Q501" s="87" t="s">
        <v>331</v>
      </c>
      <c r="R501" s="93" t="s">
        <v>1631</v>
      </c>
      <c r="S501" s="87"/>
      <c r="T501" s="87"/>
      <c r="U501" s="94" t="str">
        <f t="array" ref="U501">IFERROR(INDEX(DFD!$D$2:$D$1048791,MATCH($Q501,DFD!$B$2:$B$1048791,0)),"")</f>
        <v/>
      </c>
      <c r="V501" s="94" t="str">
        <f t="array" ref="V501">IFERROR(INDEX(DFD!$F$2:$F$1048791,MATCH($Q501,DFD!$B$2:$B$1048791,0)),"")</f>
        <v/>
      </c>
      <c r="W501" s="97" t="str">
        <f t="array" ref="W501">IFERROR(INDEX(DFD!$E$2:$E$1048791,MATCH($Q501,DFD!$B$2:$B$1048791,0)),"")</f>
        <v/>
      </c>
      <c r="X501" s="97" t="str">
        <f t="array" ref="X501">IFERROR(INDEX(DFD!$K$2:$K$1048791,MATCH($Q501,DFD!$B$2:$B$1048791,0)),"")</f>
        <v/>
      </c>
      <c r="Y501" s="97" t="str">
        <f t="array" ref="Y501">IFERROR(INDEX(DFD!$L$2:$L$1048790,MATCH($Q501,DFD!$B$2:$B$1048790,0)),"")</f>
        <v/>
      </c>
      <c r="Z501" s="97">
        <f t="shared" si="13"/>
        <v>45</v>
      </c>
      <c r="AA501" s="87"/>
      <c r="AB501" s="87" t="s">
        <v>78</v>
      </c>
      <c r="AC501" s="87"/>
      <c r="AD501" s="99">
        <v>46043.0</v>
      </c>
      <c r="AE501" s="100">
        <f t="shared" si="8"/>
        <v>1</v>
      </c>
    </row>
    <row r="502" ht="15.75" customHeight="1">
      <c r="A502" s="59" t="s">
        <v>1640</v>
      </c>
      <c r="B502" s="59" t="s">
        <v>101</v>
      </c>
      <c r="C502" s="60" t="s">
        <v>1641</v>
      </c>
      <c r="D502" s="60" t="s">
        <v>51</v>
      </c>
      <c r="E502" s="60">
        <v>4.0</v>
      </c>
      <c r="F502" s="72">
        <v>3200.0</v>
      </c>
      <c r="G502" s="73" t="s">
        <v>53</v>
      </c>
      <c r="H502" s="74">
        <v>46174.0</v>
      </c>
      <c r="I502" s="67" t="s">
        <v>17</v>
      </c>
      <c r="J502" s="67" t="s">
        <v>54</v>
      </c>
      <c r="K502" s="67" t="s">
        <v>66</v>
      </c>
      <c r="L502" s="67" t="s">
        <v>56</v>
      </c>
      <c r="M502" s="73" t="s">
        <v>132</v>
      </c>
      <c r="N502" s="67" t="s">
        <v>58</v>
      </c>
      <c r="O502" s="59" t="s">
        <v>69</v>
      </c>
      <c r="P502" s="59"/>
      <c r="Q502" s="59" t="s">
        <v>689</v>
      </c>
      <c r="R502" s="76" t="s">
        <v>616</v>
      </c>
      <c r="S502" s="59"/>
      <c r="T502" s="59"/>
      <c r="U502" s="77" t="str">
        <f t="array" ref="U502">IFERROR(INDEX(DFD!$D$2:$D$1048791,MATCH($Q502,DFD!$B$2:$B$1048791,0)),"")</f>
        <v/>
      </c>
      <c r="V502" s="77" t="s">
        <v>280</v>
      </c>
      <c r="W502" s="84" t="str">
        <f t="array" ref="W502">IFERROR(INDEX(DFD!$E$2:$E$1048791,MATCH($Q502,DFD!$B$2:$B$1048791,0)),"")</f>
        <v/>
      </c>
      <c r="X502" s="84" t="str">
        <f t="array" ref="X502">IFERROR(INDEX(DFD!$K$2:$K$1048791,MATCH($Q502,DFD!$B$2:$B$1048791,0)),"")</f>
        <v/>
      </c>
      <c r="Y502" s="84" t="str">
        <f t="array" ref="Y502">IFERROR(INDEX(DFD!$L$2:$L$1048790,MATCH($Q502,DFD!$B$2:$B$1048790,0)),"")</f>
        <v/>
      </c>
      <c r="Z502" s="84">
        <f t="shared" si="13"/>
        <v>45</v>
      </c>
      <c r="AA502" s="59"/>
      <c r="AB502" s="59" t="s">
        <v>78</v>
      </c>
      <c r="AC502" s="59"/>
      <c r="AD502" s="85">
        <v>46043.0</v>
      </c>
      <c r="AE502" s="86">
        <f t="shared" si="8"/>
        <v>1</v>
      </c>
    </row>
    <row r="503" ht="15.75" customHeight="1">
      <c r="A503" s="87" t="s">
        <v>1642</v>
      </c>
      <c r="B503" s="87" t="s">
        <v>148</v>
      </c>
      <c r="C503" s="88" t="s">
        <v>1643</v>
      </c>
      <c r="D503" s="88" t="s">
        <v>51</v>
      </c>
      <c r="E503" s="88">
        <v>2.0</v>
      </c>
      <c r="F503" s="89">
        <v>50.0</v>
      </c>
      <c r="G503" s="90" t="s">
        <v>53</v>
      </c>
      <c r="H503" s="91">
        <v>46143.0</v>
      </c>
      <c r="I503" s="92" t="s">
        <v>17</v>
      </c>
      <c r="J503" s="92" t="s">
        <v>54</v>
      </c>
      <c r="K503" s="92" t="s">
        <v>66</v>
      </c>
      <c r="L503" s="92" t="s">
        <v>67</v>
      </c>
      <c r="M503" s="90" t="s">
        <v>117</v>
      </c>
      <c r="N503" s="92" t="s">
        <v>5</v>
      </c>
      <c r="O503" s="87" t="s">
        <v>69</v>
      </c>
      <c r="P503" s="87"/>
      <c r="Q503" s="87" t="s">
        <v>689</v>
      </c>
      <c r="R503" s="93" t="s">
        <v>616</v>
      </c>
      <c r="S503" s="87"/>
      <c r="T503" s="87"/>
      <c r="U503" s="94" t="str">
        <f t="array" ref="U503">IFERROR(INDEX(DFD!$D$2:$D$1048791,MATCH($Q503,DFD!$B$2:$B$1048791,0)),"")</f>
        <v/>
      </c>
      <c r="V503" s="94" t="s">
        <v>280</v>
      </c>
      <c r="W503" s="97" t="str">
        <f t="array" ref="W503">IFERROR(INDEX(DFD!$E$2:$E$1048791,MATCH($Q503,DFD!$B$2:$B$1048791,0)),"")</f>
        <v/>
      </c>
      <c r="X503" s="97" t="str">
        <f t="array" ref="X503">IFERROR(INDEX(DFD!$K$2:$K$1048791,MATCH($Q503,DFD!$B$2:$B$1048791,0)),"")</f>
        <v/>
      </c>
      <c r="Y503" s="97" t="str">
        <f t="array" ref="Y503">IFERROR(INDEX(DFD!$L$2:$L$1048790,MATCH($Q503,DFD!$B$2:$B$1048790,0)),"")</f>
        <v/>
      </c>
      <c r="Z503" s="97">
        <f t="shared" si="13"/>
        <v>45</v>
      </c>
      <c r="AA503" s="87"/>
      <c r="AB503" s="87" t="s">
        <v>78</v>
      </c>
      <c r="AC503" s="87"/>
      <c r="AD503" s="99">
        <v>46043.0</v>
      </c>
      <c r="AE503" s="100">
        <f t="shared" si="8"/>
        <v>1</v>
      </c>
    </row>
    <row r="504" ht="15.75" customHeight="1">
      <c r="A504" s="67" t="s">
        <v>1644</v>
      </c>
      <c r="B504" s="59" t="s">
        <v>184</v>
      </c>
      <c r="C504" s="60" t="s">
        <v>1645</v>
      </c>
      <c r="D504" s="60" t="s">
        <v>51</v>
      </c>
      <c r="E504" s="60">
        <v>30.0</v>
      </c>
      <c r="F504" s="72">
        <v>54.0</v>
      </c>
      <c r="G504" s="73" t="s">
        <v>53</v>
      </c>
      <c r="H504" s="74">
        <v>46143.0</v>
      </c>
      <c r="I504" s="67" t="s">
        <v>17</v>
      </c>
      <c r="J504" s="67" t="s">
        <v>54</v>
      </c>
      <c r="K504" s="67" t="s">
        <v>66</v>
      </c>
      <c r="L504" s="67" t="s">
        <v>67</v>
      </c>
      <c r="M504" s="73" t="s">
        <v>57</v>
      </c>
      <c r="N504" s="67" t="s">
        <v>20</v>
      </c>
      <c r="O504" s="67" t="s">
        <v>89</v>
      </c>
      <c r="P504" s="59"/>
      <c r="Q504" s="59" t="s">
        <v>286</v>
      </c>
      <c r="R504" s="76" t="s">
        <v>287</v>
      </c>
      <c r="S504" s="59"/>
      <c r="T504" s="59"/>
      <c r="U504" s="77" t="str">
        <f t="array" ref="U504">IFERROR(INDEX(DFD!$D$2:$D$1048791,MATCH($Q504,DFD!$B$2:$B$1048791,0)),"")</f>
        <v/>
      </c>
      <c r="V504" s="77" t="str">
        <f t="array" ref="V504">IFERROR(INDEX(DFD!$F$2:$F$1048791,MATCH($Q504,DFD!$B$2:$B$1048791,0)),"")</f>
        <v/>
      </c>
      <c r="W504" s="84" t="str">
        <f t="array" ref="W504">IFERROR(INDEX(DFD!$E$2:$E$1048791,MATCH($Q504,DFD!$B$2:$B$1048791,0)),"")</f>
        <v/>
      </c>
      <c r="X504" s="84" t="str">
        <f t="array" ref="X504">IFERROR(INDEX(DFD!$K$2:$K$1048791,MATCH($Q504,DFD!$B$2:$B$1048791,0)),"")</f>
        <v/>
      </c>
      <c r="Y504" s="84" t="str">
        <f t="array" ref="Y504">IFERROR(INDEX(DFD!$L$2:$L$1048790,MATCH($Q504,DFD!$B$2:$B$1048790,0)),"")</f>
        <v/>
      </c>
      <c r="Z504" s="84">
        <f t="shared" si="13"/>
        <v>45</v>
      </c>
      <c r="AA504" s="59"/>
      <c r="AB504" s="59" t="s">
        <v>288</v>
      </c>
      <c r="AC504" s="59"/>
      <c r="AD504" s="85">
        <v>46043.0</v>
      </c>
      <c r="AE504" s="86">
        <f t="shared" si="8"/>
        <v>1</v>
      </c>
    </row>
    <row r="505" ht="15.75" customHeight="1">
      <c r="A505" s="87"/>
      <c r="B505" s="87" t="s">
        <v>400</v>
      </c>
      <c r="C505" s="88" t="s">
        <v>1646</v>
      </c>
      <c r="D505" s="88" t="s">
        <v>51</v>
      </c>
      <c r="E505" s="88">
        <v>1.0</v>
      </c>
      <c r="F505" s="89">
        <v>2500000.0</v>
      </c>
      <c r="G505" s="90" t="s">
        <v>53</v>
      </c>
      <c r="H505" s="91">
        <v>46266.0</v>
      </c>
      <c r="I505" s="92" t="s">
        <v>18</v>
      </c>
      <c r="J505" s="92" t="s">
        <v>54</v>
      </c>
      <c r="K505" s="92" t="s">
        <v>161</v>
      </c>
      <c r="L505" s="92" t="s">
        <v>56</v>
      </c>
      <c r="M505" s="90" t="s">
        <v>84</v>
      </c>
      <c r="N505" s="92" t="s">
        <v>20</v>
      </c>
      <c r="O505" s="87" t="s">
        <v>69</v>
      </c>
      <c r="P505" s="92"/>
      <c r="Q505" s="92"/>
      <c r="R505" s="92" t="s">
        <v>506</v>
      </c>
      <c r="S505" s="87"/>
      <c r="T505" s="87"/>
      <c r="U505" s="94" t="str">
        <f t="array" ref="U505">IFERROR(INDEX(DFD!$D$2:$D$1048791,MATCH($Q505,DFD!$B$2:$B$1048791,0)),"")</f>
        <v/>
      </c>
      <c r="V505" s="94" t="str">
        <f t="array" ref="V505">IFERROR(INDEX(DFD!$F$2:$F$1048791,MATCH($Q505,DFD!$B$2:$B$1048791,0)),"")</f>
        <v/>
      </c>
      <c r="W505" s="97" t="str">
        <f t="array" ref="W505">IFERROR(INDEX(DFD!$E$2:$E$1048791,MATCH($Q505,DFD!$B$2:$B$1048791,0)),"")</f>
        <v/>
      </c>
      <c r="X505" s="97" t="str">
        <f t="array" ref="X505">IFERROR(INDEX(DFD!$K$2:$K$1048791,MATCH($Q505,DFD!$B$2:$B$1048791,0)),"")</f>
        <v/>
      </c>
      <c r="Y505" s="97" t="str">
        <f t="array" ref="Y505">IFERROR(INDEX(DFD!$L$2:$L$1048790,MATCH($Q505,DFD!$B$2:$B$1048790,0)),"")</f>
        <v/>
      </c>
      <c r="Z505" s="97">
        <f t="shared" si="13"/>
        <v>45</v>
      </c>
      <c r="AA505" s="87"/>
      <c r="AB505" s="87" t="s">
        <v>72</v>
      </c>
      <c r="AC505" s="87"/>
      <c r="AD505" s="99"/>
      <c r="AE505" s="100">
        <f t="shared" si="8"/>
        <v>1</v>
      </c>
    </row>
    <row r="506" ht="15.75" customHeight="1">
      <c r="A506" s="59" t="s">
        <v>1647</v>
      </c>
      <c r="B506" s="59" t="s">
        <v>148</v>
      </c>
      <c r="C506" s="60" t="s">
        <v>1648</v>
      </c>
      <c r="D506" s="60" t="s">
        <v>51</v>
      </c>
      <c r="E506" s="60">
        <v>2.0</v>
      </c>
      <c r="F506" s="72">
        <v>100.0</v>
      </c>
      <c r="G506" s="73" t="s">
        <v>53</v>
      </c>
      <c r="H506" s="74">
        <v>46143.0</v>
      </c>
      <c r="I506" s="67" t="s">
        <v>17</v>
      </c>
      <c r="J506" s="67" t="s">
        <v>54</v>
      </c>
      <c r="K506" s="67" t="s">
        <v>66</v>
      </c>
      <c r="L506" s="67" t="s">
        <v>67</v>
      </c>
      <c r="M506" s="73" t="s">
        <v>117</v>
      </c>
      <c r="N506" s="67" t="s">
        <v>5</v>
      </c>
      <c r="O506" s="59" t="s">
        <v>69</v>
      </c>
      <c r="P506" s="59"/>
      <c r="Q506" s="59" t="s">
        <v>576</v>
      </c>
      <c r="R506" s="76" t="s">
        <v>373</v>
      </c>
      <c r="S506" s="59"/>
      <c r="T506" s="59"/>
      <c r="U506" s="77" t="str">
        <f t="array" ref="U506">IFERROR(INDEX(DFD!$D$2:$D$1048791,MATCH($Q506,DFD!$B$2:$B$1048791,0)),"")</f>
        <v/>
      </c>
      <c r="V506" s="77" t="s">
        <v>280</v>
      </c>
      <c r="W506" s="84" t="str">
        <f t="array" ref="W506">IFERROR(INDEX(DFD!$E$2:$E$1048791,MATCH($Q506,DFD!$B$2:$B$1048791,0)),"")</f>
        <v/>
      </c>
      <c r="X506" s="84" t="str">
        <f t="array" ref="X506">IFERROR(INDEX(DFD!$K$2:$K$1048791,MATCH($Q506,DFD!$B$2:$B$1048791,0)),"")</f>
        <v/>
      </c>
      <c r="Y506" s="84" t="str">
        <f t="array" ref="Y506">IFERROR(INDEX(DFD!$L$2:$L$1048790,MATCH($Q506,DFD!$B$2:$B$1048790,0)),"")</f>
        <v/>
      </c>
      <c r="Z506" s="84">
        <f t="shared" si="13"/>
        <v>45</v>
      </c>
      <c r="AA506" s="59"/>
      <c r="AB506" s="59" t="s">
        <v>78</v>
      </c>
      <c r="AC506" s="59"/>
      <c r="AD506" s="85">
        <v>46043.0</v>
      </c>
      <c r="AE506" s="86">
        <f t="shared" si="8"/>
        <v>1</v>
      </c>
    </row>
    <row r="507" ht="15.75" customHeight="1">
      <c r="A507" s="92" t="s">
        <v>1649</v>
      </c>
      <c r="B507" s="87" t="s">
        <v>184</v>
      </c>
      <c r="C507" s="88" t="s">
        <v>1650</v>
      </c>
      <c r="D507" s="88" t="s">
        <v>51</v>
      </c>
      <c r="E507" s="88">
        <v>10.0</v>
      </c>
      <c r="F507" s="89">
        <v>1144.2</v>
      </c>
      <c r="G507" s="90" t="s">
        <v>53</v>
      </c>
      <c r="H507" s="91">
        <v>46174.0</v>
      </c>
      <c r="I507" s="92" t="s">
        <v>17</v>
      </c>
      <c r="J507" s="92" t="s">
        <v>54</v>
      </c>
      <c r="K507" s="92" t="s">
        <v>66</v>
      </c>
      <c r="L507" s="92" t="s">
        <v>67</v>
      </c>
      <c r="M507" s="90" t="s">
        <v>57</v>
      </c>
      <c r="N507" s="92" t="s">
        <v>20</v>
      </c>
      <c r="O507" s="92" t="s">
        <v>89</v>
      </c>
      <c r="P507" s="87"/>
      <c r="Q507" s="87" t="s">
        <v>70</v>
      </c>
      <c r="R507" s="93" t="s">
        <v>71</v>
      </c>
      <c r="S507" s="87"/>
      <c r="T507" s="87"/>
      <c r="U507" s="94" t="str">
        <f t="array" ref="U507">IFERROR(INDEX(DFD!$D$2:$D$1048791,MATCH($Q507,DFD!$B$2:$B$1048791,0)),"")</f>
        <v/>
      </c>
      <c r="V507" s="94" t="str">
        <f t="array" ref="V507">IFERROR(INDEX(DFD!$F$2:$F$1048791,MATCH($Q507,DFD!$B$2:$B$1048791,0)),"")</f>
        <v/>
      </c>
      <c r="W507" s="97" t="str">
        <f t="array" ref="W507">IFERROR(INDEX(DFD!$E$2:$E$1048791,MATCH($Q507,DFD!$B$2:$B$1048791,0)),"")</f>
        <v/>
      </c>
      <c r="X507" s="97" t="str">
        <f t="array" ref="X507">IFERROR(INDEX(DFD!$K$2:$K$1048791,MATCH($Q507,DFD!$B$2:$B$1048791,0)),"")</f>
        <v/>
      </c>
      <c r="Y507" s="97" t="str">
        <f t="array" ref="Y507">IFERROR(INDEX(DFD!$L$2:$L$1048790,MATCH($Q507,DFD!$B$2:$B$1048790,0)),"")</f>
        <v/>
      </c>
      <c r="Z507" s="97">
        <f t="shared" si="13"/>
        <v>45</v>
      </c>
      <c r="AA507" s="87"/>
      <c r="AB507" s="87" t="s">
        <v>78</v>
      </c>
      <c r="AC507" s="87"/>
      <c r="AD507" s="99">
        <v>46043.0</v>
      </c>
      <c r="AE507" s="100">
        <f t="shared" si="8"/>
        <v>1</v>
      </c>
    </row>
    <row r="508" ht="15.75" customHeight="1">
      <c r="A508" s="59" t="s">
        <v>1651</v>
      </c>
      <c r="B508" s="59" t="s">
        <v>101</v>
      </c>
      <c r="C508" s="60" t="s">
        <v>1650</v>
      </c>
      <c r="D508" s="60" t="s">
        <v>51</v>
      </c>
      <c r="E508" s="60">
        <v>8.0</v>
      </c>
      <c r="F508" s="72">
        <v>915.36</v>
      </c>
      <c r="G508" s="73" t="s">
        <v>53</v>
      </c>
      <c r="H508" s="74">
        <v>46174.0</v>
      </c>
      <c r="I508" s="67" t="s">
        <v>17</v>
      </c>
      <c r="J508" s="67" t="s">
        <v>54</v>
      </c>
      <c r="K508" s="67" t="s">
        <v>66</v>
      </c>
      <c r="L508" s="67" t="s">
        <v>56</v>
      </c>
      <c r="M508" s="73" t="s">
        <v>112</v>
      </c>
      <c r="N508" s="67" t="s">
        <v>58</v>
      </c>
      <c r="O508" s="59" t="s">
        <v>69</v>
      </c>
      <c r="P508" s="59"/>
      <c r="Q508" s="59" t="s">
        <v>70</v>
      </c>
      <c r="R508" s="76" t="s">
        <v>71</v>
      </c>
      <c r="S508" s="59"/>
      <c r="T508" s="59"/>
      <c r="U508" s="77" t="str">
        <f t="array" ref="U508">IFERROR(INDEX(DFD!$D$2:$D$1048791,MATCH($Q508,DFD!$B$2:$B$1048791,0)),"")</f>
        <v/>
      </c>
      <c r="V508" s="77" t="str">
        <f t="array" ref="V508">IFERROR(INDEX(DFD!$F$2:$F$1048791,MATCH($Q508,DFD!$B$2:$B$1048791,0)),"")</f>
        <v/>
      </c>
      <c r="W508" s="84" t="str">
        <f t="array" ref="W508">IFERROR(INDEX(DFD!$E$2:$E$1048791,MATCH($Q508,DFD!$B$2:$B$1048791,0)),"")</f>
        <v/>
      </c>
      <c r="X508" s="84" t="str">
        <f t="array" ref="X508">IFERROR(INDEX(DFD!$K$2:$K$1048791,MATCH($Q508,DFD!$B$2:$B$1048791,0)),"")</f>
        <v/>
      </c>
      <c r="Y508" s="84" t="str">
        <f t="array" ref="Y508">IFERROR(INDEX(DFD!$L$2:$L$1048790,MATCH($Q508,DFD!$B$2:$B$1048790,0)),"")</f>
        <v/>
      </c>
      <c r="Z508" s="84">
        <f t="shared" si="13"/>
        <v>45</v>
      </c>
      <c r="AA508" s="59"/>
      <c r="AB508" s="59" t="s">
        <v>78</v>
      </c>
      <c r="AC508" s="59"/>
      <c r="AD508" s="85">
        <v>46043.0</v>
      </c>
      <c r="AE508" s="86">
        <f t="shared" si="8"/>
        <v>1</v>
      </c>
    </row>
    <row r="509" ht="15.75" customHeight="1">
      <c r="A509" s="87" t="s">
        <v>1652</v>
      </c>
      <c r="B509" s="87" t="s">
        <v>101</v>
      </c>
      <c r="C509" s="88" t="s">
        <v>957</v>
      </c>
      <c r="D509" s="88" t="s">
        <v>51</v>
      </c>
      <c r="E509" s="88">
        <v>4.0</v>
      </c>
      <c r="F509" s="89">
        <v>5600.0</v>
      </c>
      <c r="G509" s="90" t="s">
        <v>53</v>
      </c>
      <c r="H509" s="91">
        <v>46204.0</v>
      </c>
      <c r="I509" s="92" t="s">
        <v>17</v>
      </c>
      <c r="J509" s="92" t="s">
        <v>54</v>
      </c>
      <c r="K509" s="92" t="s">
        <v>66</v>
      </c>
      <c r="L509" s="92" t="s">
        <v>56</v>
      </c>
      <c r="M509" s="90" t="s">
        <v>68</v>
      </c>
      <c r="N509" s="92" t="s">
        <v>58</v>
      </c>
      <c r="O509" s="87" t="s">
        <v>69</v>
      </c>
      <c r="P509" s="87"/>
      <c r="Q509" s="87" t="s">
        <v>521</v>
      </c>
      <c r="R509" s="93" t="s">
        <v>503</v>
      </c>
      <c r="S509" s="87"/>
      <c r="T509" s="87"/>
      <c r="U509" s="94" t="str">
        <f t="array" ref="U509">IFERROR(INDEX(DFD!$D$2:$D$1048791,MATCH($Q509,DFD!$B$2:$B$1048791,0)),"")</f>
        <v/>
      </c>
      <c r="V509" s="94" t="s">
        <v>280</v>
      </c>
      <c r="W509" s="97" t="str">
        <f t="array" ref="W509">IFERROR(INDEX(DFD!$E$2:$E$1048791,MATCH($Q509,DFD!$B$2:$B$1048791,0)),"")</f>
        <v/>
      </c>
      <c r="X509" s="97" t="str">
        <f t="array" ref="X509">IFERROR(INDEX(DFD!$K$2:$K$1048791,MATCH($Q509,DFD!$B$2:$B$1048791,0)),"")</f>
        <v/>
      </c>
      <c r="Y509" s="97" t="str">
        <f t="array" ref="Y509">IFERROR(INDEX(DFD!$L$2:$L$1048790,MATCH($Q509,DFD!$B$2:$B$1048790,0)),"")</f>
        <v/>
      </c>
      <c r="Z509" s="97">
        <f t="shared" si="13"/>
        <v>45</v>
      </c>
      <c r="AA509" s="87"/>
      <c r="AB509" s="87" t="s">
        <v>78</v>
      </c>
      <c r="AC509" s="87"/>
      <c r="AD509" s="99">
        <v>46043.0</v>
      </c>
      <c r="AE509" s="100">
        <f t="shared" si="8"/>
        <v>1</v>
      </c>
    </row>
    <row r="510" ht="15.75" customHeight="1">
      <c r="A510" s="67" t="s">
        <v>1653</v>
      </c>
      <c r="B510" s="59" t="s">
        <v>184</v>
      </c>
      <c r="C510" s="60" t="s">
        <v>1654</v>
      </c>
      <c r="D510" s="60" t="s">
        <v>51</v>
      </c>
      <c r="E510" s="60">
        <v>34.0</v>
      </c>
      <c r="F510" s="72">
        <f>E510*50</f>
        <v>1700</v>
      </c>
      <c r="G510" s="73" t="s">
        <v>53</v>
      </c>
      <c r="H510" s="74">
        <v>46174.0</v>
      </c>
      <c r="I510" s="67" t="s">
        <v>17</v>
      </c>
      <c r="J510" s="67" t="s">
        <v>54</v>
      </c>
      <c r="K510" s="67" t="s">
        <v>66</v>
      </c>
      <c r="L510" s="67" t="s">
        <v>67</v>
      </c>
      <c r="M510" s="73" t="s">
        <v>57</v>
      </c>
      <c r="N510" s="67" t="s">
        <v>20</v>
      </c>
      <c r="O510" s="67" t="s">
        <v>89</v>
      </c>
      <c r="P510" s="59"/>
      <c r="Q510" s="59" t="s">
        <v>113</v>
      </c>
      <c r="R510" s="76" t="s">
        <v>114</v>
      </c>
      <c r="S510" s="59"/>
      <c r="T510" s="59"/>
      <c r="U510" s="77" t="str">
        <f t="array" ref="U510">IFERROR(INDEX(DFD!$D$2:$D$1048791,MATCH($Q510,DFD!$B$2:$B$1048791,0)),"")</f>
        <v/>
      </c>
      <c r="V510" s="77" t="str">
        <f t="array" ref="V510">IFERROR(INDEX(DFD!$F$2:$F$1048791,MATCH($Q510,DFD!$B$2:$B$1048791,0)),"")</f>
        <v/>
      </c>
      <c r="W510" s="84" t="str">
        <f t="array" ref="W510">IFERROR(INDEX(DFD!$E$2:$E$1048791,MATCH($Q510,DFD!$B$2:$B$1048791,0)),"")</f>
        <v/>
      </c>
      <c r="X510" s="84" t="str">
        <f t="array" ref="X510">IFERROR(INDEX(DFD!$K$2:$K$1048791,MATCH($Q510,DFD!$B$2:$B$1048791,0)),"")</f>
        <v/>
      </c>
      <c r="Y510" s="84" t="str">
        <f t="array" ref="Y510">IFERROR(INDEX(DFD!$L$2:$L$1048790,MATCH($Q510,DFD!$B$2:$B$1048790,0)),"")</f>
        <v/>
      </c>
      <c r="Z510" s="84">
        <f t="shared" si="13"/>
        <v>45</v>
      </c>
      <c r="AA510" s="59" t="s">
        <v>746</v>
      </c>
      <c r="AB510" s="59" t="s">
        <v>78</v>
      </c>
      <c r="AC510" s="59"/>
      <c r="AD510" s="85">
        <v>46043.0</v>
      </c>
      <c r="AE510" s="86">
        <f t="shared" si="8"/>
        <v>1</v>
      </c>
    </row>
    <row r="511" ht="15.75" customHeight="1">
      <c r="A511" s="92" t="s">
        <v>1655</v>
      </c>
      <c r="B511" s="71" t="s">
        <v>184</v>
      </c>
      <c r="C511" s="88" t="s">
        <v>1656</v>
      </c>
      <c r="D511" s="88" t="s">
        <v>51</v>
      </c>
      <c r="E511" s="88">
        <v>20.0</v>
      </c>
      <c r="F511" s="89">
        <v>1980.0</v>
      </c>
      <c r="G511" s="90" t="s">
        <v>53</v>
      </c>
      <c r="H511" s="91">
        <v>46174.0</v>
      </c>
      <c r="I511" s="92" t="s">
        <v>17</v>
      </c>
      <c r="J511" s="92" t="s">
        <v>54</v>
      </c>
      <c r="K511" s="92" t="s">
        <v>66</v>
      </c>
      <c r="L511" s="92" t="s">
        <v>67</v>
      </c>
      <c r="M511" s="90" t="s">
        <v>57</v>
      </c>
      <c r="N511" s="92" t="s">
        <v>20</v>
      </c>
      <c r="O511" s="87" t="s">
        <v>69</v>
      </c>
      <c r="P511" s="87"/>
      <c r="Q511" s="87" t="s">
        <v>626</v>
      </c>
      <c r="R511" s="93" t="s">
        <v>114</v>
      </c>
      <c r="S511" s="87"/>
      <c r="T511" s="87"/>
      <c r="U511" s="94" t="str">
        <f t="array" ref="U511">IFERROR(INDEX(DFD!$D$2:$D$1048791,MATCH($Q511,DFD!$B$2:$B$1048791,0)),"")</f>
        <v/>
      </c>
      <c r="V511" s="94" t="s">
        <v>280</v>
      </c>
      <c r="W511" s="97" t="str">
        <f t="array" ref="W511">IFERROR(INDEX(DFD!$E$2:$E$1048791,MATCH($Q511,DFD!$B$2:$B$1048791,0)),"")</f>
        <v/>
      </c>
      <c r="X511" s="97" t="str">
        <f t="array" ref="X511">IFERROR(INDEX(DFD!$K$2:$K$1048791,MATCH($Q511,DFD!$B$2:$B$1048791,0)),"")</f>
        <v/>
      </c>
      <c r="Y511" s="97" t="str">
        <f t="array" ref="Y511">IFERROR(INDEX(DFD!$L$2:$L$1048790,MATCH($Q511,DFD!$B$2:$B$1048790,0)),"")</f>
        <v/>
      </c>
      <c r="Z511" s="97">
        <f t="shared" si="13"/>
        <v>45</v>
      </c>
      <c r="AA511" s="87"/>
      <c r="AB511" s="87" t="s">
        <v>78</v>
      </c>
      <c r="AC511" s="87"/>
      <c r="AD511" s="99">
        <v>46043.0</v>
      </c>
      <c r="AE511" s="100">
        <f t="shared" si="8"/>
        <v>1</v>
      </c>
    </row>
    <row r="512" ht="15.75" customHeight="1">
      <c r="A512" s="67" t="s">
        <v>1657</v>
      </c>
      <c r="B512" s="59" t="s">
        <v>184</v>
      </c>
      <c r="C512" s="60" t="s">
        <v>1658</v>
      </c>
      <c r="D512" s="60" t="s">
        <v>51</v>
      </c>
      <c r="E512" s="60">
        <v>30.0</v>
      </c>
      <c r="F512" s="72">
        <v>1859.0</v>
      </c>
      <c r="G512" s="73" t="s">
        <v>53</v>
      </c>
      <c r="H512" s="74">
        <v>46174.0</v>
      </c>
      <c r="I512" s="67" t="s">
        <v>17</v>
      </c>
      <c r="J512" s="67" t="s">
        <v>54</v>
      </c>
      <c r="K512" s="67" t="s">
        <v>66</v>
      </c>
      <c r="L512" s="67" t="s">
        <v>67</v>
      </c>
      <c r="M512" s="73" t="s">
        <v>57</v>
      </c>
      <c r="N512" s="67" t="s">
        <v>20</v>
      </c>
      <c r="O512" s="59" t="s">
        <v>69</v>
      </c>
      <c r="P512" s="59"/>
      <c r="Q512" s="59" t="s">
        <v>626</v>
      </c>
      <c r="R512" s="76" t="s">
        <v>114</v>
      </c>
      <c r="S512" s="59"/>
      <c r="T512" s="59"/>
      <c r="U512" s="77" t="str">
        <f t="array" ref="U512">IFERROR(INDEX(DFD!$D$2:$D$1048791,MATCH($Q512,DFD!$B$2:$B$1048791,0)),"")</f>
        <v/>
      </c>
      <c r="V512" s="77" t="s">
        <v>280</v>
      </c>
      <c r="W512" s="84" t="str">
        <f t="array" ref="W512">IFERROR(INDEX(DFD!$E$2:$E$1048791,MATCH($Q512,DFD!$B$2:$B$1048791,0)),"")</f>
        <v/>
      </c>
      <c r="X512" s="84" t="str">
        <f t="array" ref="X512">IFERROR(INDEX(DFD!$K$2:$K$1048791,MATCH($Q512,DFD!$B$2:$B$1048791,0)),"")</f>
        <v/>
      </c>
      <c r="Y512" s="84" t="str">
        <f t="array" ref="Y512">IFERROR(INDEX(DFD!$L$2:$L$1048790,MATCH($Q512,DFD!$B$2:$B$1048790,0)),"")</f>
        <v/>
      </c>
      <c r="Z512" s="84">
        <f t="shared" si="13"/>
        <v>45</v>
      </c>
      <c r="AA512" s="59"/>
      <c r="AB512" s="59" t="s">
        <v>78</v>
      </c>
      <c r="AC512" s="59"/>
      <c r="AD512" s="85">
        <v>46043.0</v>
      </c>
      <c r="AE512" s="86">
        <f t="shared" si="8"/>
        <v>1</v>
      </c>
    </row>
    <row r="513" ht="15.75" customHeight="1">
      <c r="A513" s="92" t="s">
        <v>1659</v>
      </c>
      <c r="B513" s="87" t="s">
        <v>184</v>
      </c>
      <c r="C513" s="88" t="s">
        <v>1660</v>
      </c>
      <c r="D513" s="88" t="s">
        <v>749</v>
      </c>
      <c r="E513" s="116">
        <v>200.0</v>
      </c>
      <c r="F513" s="137">
        <v>500.0</v>
      </c>
      <c r="G513" s="90" t="s">
        <v>53</v>
      </c>
      <c r="H513" s="91">
        <v>46266.0</v>
      </c>
      <c r="I513" s="92" t="s">
        <v>17</v>
      </c>
      <c r="J513" s="92" t="s">
        <v>54</v>
      </c>
      <c r="K513" s="92" t="s">
        <v>372</v>
      </c>
      <c r="L513" s="92" t="s">
        <v>67</v>
      </c>
      <c r="M513" s="90" t="s">
        <v>104</v>
      </c>
      <c r="N513" s="92" t="s">
        <v>20</v>
      </c>
      <c r="O513" s="92" t="s">
        <v>89</v>
      </c>
      <c r="P513" s="87"/>
      <c r="Q513" s="87" t="s">
        <v>113</v>
      </c>
      <c r="R513" s="93" t="s">
        <v>616</v>
      </c>
      <c r="S513" s="87"/>
      <c r="T513" s="87"/>
      <c r="U513" s="94" t="str">
        <f t="array" ref="U513">IFERROR(INDEX(DFD!$D$2:$D$1048791,MATCH($Q513,DFD!$B$2:$B$1048791,0)),"")</f>
        <v/>
      </c>
      <c r="V513" s="94" t="str">
        <f t="array" ref="V513">IFERROR(INDEX(DFD!$F$2:$F$1048791,MATCH($Q513,DFD!$B$2:$B$1048791,0)),"")</f>
        <v/>
      </c>
      <c r="W513" s="97" t="str">
        <f t="array" ref="W513">IFERROR(INDEX(DFD!$E$2:$E$1048791,MATCH($Q513,DFD!$B$2:$B$1048791,0)),"")</f>
        <v/>
      </c>
      <c r="X513" s="97" t="str">
        <f t="array" ref="X513">IFERROR(INDEX(DFD!$K$2:$K$1048791,MATCH($Q513,DFD!$B$2:$B$1048791,0)),"")</f>
        <v/>
      </c>
      <c r="Y513" s="97" t="str">
        <f t="array" ref="Y513">IFERROR(INDEX(DFD!$L$2:$L$1048790,MATCH($Q513,DFD!$B$2:$B$1048790,0)),"")</f>
        <v/>
      </c>
      <c r="Z513" s="97">
        <f t="shared" si="13"/>
        <v>45</v>
      </c>
      <c r="AA513" s="87" t="s">
        <v>746</v>
      </c>
      <c r="AB513" s="87" t="s">
        <v>78</v>
      </c>
      <c r="AC513" s="87"/>
      <c r="AD513" s="99">
        <v>46043.0</v>
      </c>
      <c r="AE513" s="100">
        <f t="shared" si="8"/>
        <v>1</v>
      </c>
    </row>
    <row r="514" ht="15.75" customHeight="1">
      <c r="A514" s="67" t="s">
        <v>1661</v>
      </c>
      <c r="B514" s="59" t="s">
        <v>184</v>
      </c>
      <c r="C514" s="60" t="s">
        <v>1662</v>
      </c>
      <c r="D514" s="60" t="s">
        <v>749</v>
      </c>
      <c r="E514" s="60">
        <v>200.0</v>
      </c>
      <c r="F514" s="72">
        <v>600.0</v>
      </c>
      <c r="G514" s="73" t="s">
        <v>53</v>
      </c>
      <c r="H514" s="74">
        <v>46174.0</v>
      </c>
      <c r="I514" s="67" t="s">
        <v>17</v>
      </c>
      <c r="J514" s="67" t="s">
        <v>54</v>
      </c>
      <c r="K514" s="67" t="s">
        <v>66</v>
      </c>
      <c r="L514" s="67" t="s">
        <v>67</v>
      </c>
      <c r="M514" s="73" t="s">
        <v>57</v>
      </c>
      <c r="N514" s="67" t="s">
        <v>20</v>
      </c>
      <c r="O514" s="59" t="s">
        <v>69</v>
      </c>
      <c r="P514" s="59"/>
      <c r="Q514" s="59" t="s">
        <v>113</v>
      </c>
      <c r="R514" s="76" t="s">
        <v>616</v>
      </c>
      <c r="S514" s="59"/>
      <c r="T514" s="59"/>
      <c r="U514" s="77" t="str">
        <f t="array" ref="U514">IFERROR(INDEX(DFD!$D$2:$D$1048791,MATCH($Q514,DFD!$B$2:$B$1048791,0)),"")</f>
        <v/>
      </c>
      <c r="V514" s="77" t="str">
        <f t="array" ref="V514">IFERROR(INDEX(DFD!$F$2:$F$1048791,MATCH($Q514,DFD!$B$2:$B$1048791,0)),"")</f>
        <v/>
      </c>
      <c r="W514" s="84" t="str">
        <f t="array" ref="W514">IFERROR(INDEX(DFD!$E$2:$E$1048791,MATCH($Q514,DFD!$B$2:$B$1048791,0)),"")</f>
        <v/>
      </c>
      <c r="X514" s="84" t="str">
        <f t="array" ref="X514">IFERROR(INDEX(DFD!$K$2:$K$1048791,MATCH($Q514,DFD!$B$2:$B$1048791,0)),"")</f>
        <v/>
      </c>
      <c r="Y514" s="84" t="str">
        <f t="array" ref="Y514">IFERROR(INDEX(DFD!$L$2:$L$1048790,MATCH($Q514,DFD!$B$2:$B$1048790,0)),"")</f>
        <v/>
      </c>
      <c r="Z514" s="84">
        <f t="shared" si="13"/>
        <v>45</v>
      </c>
      <c r="AA514" s="59" t="s">
        <v>746</v>
      </c>
      <c r="AB514" s="59" t="s">
        <v>78</v>
      </c>
      <c r="AC514" s="59"/>
      <c r="AD514" s="85">
        <v>46043.0</v>
      </c>
      <c r="AE514" s="86">
        <f t="shared" si="8"/>
        <v>1</v>
      </c>
    </row>
    <row r="515" ht="15.75" customHeight="1">
      <c r="A515" s="87" t="s">
        <v>1663</v>
      </c>
      <c r="B515" s="87" t="s">
        <v>101</v>
      </c>
      <c r="C515" s="88" t="s">
        <v>1662</v>
      </c>
      <c r="D515" s="88" t="s">
        <v>51</v>
      </c>
      <c r="E515" s="88">
        <v>100.0</v>
      </c>
      <c r="F515" s="89">
        <v>300.0</v>
      </c>
      <c r="G515" s="90" t="s">
        <v>53</v>
      </c>
      <c r="H515" s="91">
        <v>46174.0</v>
      </c>
      <c r="I515" s="92" t="s">
        <v>17</v>
      </c>
      <c r="J515" s="92" t="s">
        <v>54</v>
      </c>
      <c r="K515" s="92" t="s">
        <v>66</v>
      </c>
      <c r="L515" s="92" t="s">
        <v>56</v>
      </c>
      <c r="M515" s="90" t="s">
        <v>112</v>
      </c>
      <c r="N515" s="92" t="s">
        <v>58</v>
      </c>
      <c r="O515" s="87" t="s">
        <v>69</v>
      </c>
      <c r="P515" s="87"/>
      <c r="Q515" s="87" t="s">
        <v>113</v>
      </c>
      <c r="R515" s="93" t="s">
        <v>616</v>
      </c>
      <c r="S515" s="87"/>
      <c r="T515" s="87"/>
      <c r="U515" s="94" t="str">
        <f t="array" ref="U515">IFERROR(INDEX(DFD!$D$2:$D$1048791,MATCH($Q515,DFD!$B$2:$B$1048791,0)),"")</f>
        <v/>
      </c>
      <c r="V515" s="94" t="str">
        <f t="array" ref="V515">IFERROR(INDEX(DFD!$F$2:$F$1048791,MATCH($Q515,DFD!$B$2:$B$1048791,0)),"")</f>
        <v/>
      </c>
      <c r="W515" s="97" t="str">
        <f t="array" ref="W515">IFERROR(INDEX(DFD!$E$2:$E$1048791,MATCH($Q515,DFD!$B$2:$B$1048791,0)),"")</f>
        <v/>
      </c>
      <c r="X515" s="97" t="str">
        <f t="array" ref="X515">IFERROR(INDEX(DFD!$K$2:$K$1048791,MATCH($Q515,DFD!$B$2:$B$1048791,0)),"")</f>
        <v/>
      </c>
      <c r="Y515" s="97" t="str">
        <f t="array" ref="Y515">IFERROR(INDEX(DFD!$L$2:$L$1048790,MATCH($Q515,DFD!$B$2:$B$1048790,0)),"")</f>
        <v/>
      </c>
      <c r="Z515" s="97">
        <f t="shared" si="13"/>
        <v>45</v>
      </c>
      <c r="AA515" s="87"/>
      <c r="AB515" s="87" t="s">
        <v>78</v>
      </c>
      <c r="AC515" s="87"/>
      <c r="AD515" s="99">
        <v>46043.0</v>
      </c>
      <c r="AE515" s="100">
        <f t="shared" si="8"/>
        <v>1</v>
      </c>
    </row>
    <row r="516" ht="15.75" customHeight="1">
      <c r="A516" s="67" t="s">
        <v>1664</v>
      </c>
      <c r="B516" s="59" t="s">
        <v>184</v>
      </c>
      <c r="C516" s="60" t="s">
        <v>1665</v>
      </c>
      <c r="D516" s="60" t="s">
        <v>749</v>
      </c>
      <c r="E516" s="60">
        <v>200.0</v>
      </c>
      <c r="F516" s="72">
        <v>740.0</v>
      </c>
      <c r="G516" s="73" t="s">
        <v>53</v>
      </c>
      <c r="H516" s="74">
        <v>46266.0</v>
      </c>
      <c r="I516" s="67" t="s">
        <v>17</v>
      </c>
      <c r="J516" s="67" t="s">
        <v>54</v>
      </c>
      <c r="K516" s="67" t="s">
        <v>372</v>
      </c>
      <c r="L516" s="67" t="s">
        <v>67</v>
      </c>
      <c r="M516" s="73" t="s">
        <v>104</v>
      </c>
      <c r="N516" s="67" t="s">
        <v>20</v>
      </c>
      <c r="O516" s="67" t="s">
        <v>89</v>
      </c>
      <c r="P516" s="59"/>
      <c r="Q516" s="59" t="s">
        <v>113</v>
      </c>
      <c r="R516" s="76" t="s">
        <v>616</v>
      </c>
      <c r="S516" s="120"/>
      <c r="T516" s="59"/>
      <c r="U516" s="77" t="str">
        <f t="array" ref="U516">IFERROR(INDEX(DFD!$D$2:$D$1048791,MATCH($Q516,DFD!$B$2:$B$1048791,0)),"")</f>
        <v/>
      </c>
      <c r="V516" s="77" t="str">
        <f t="array" ref="V516">IFERROR(INDEX(DFD!$F$2:$F$1048791,MATCH($Q516,DFD!$B$2:$B$1048791,0)),"")</f>
        <v/>
      </c>
      <c r="W516" s="84" t="str">
        <f t="array" ref="W516">IFERROR(INDEX(DFD!$E$2:$E$1048791,MATCH($Q516,DFD!$B$2:$B$1048791,0)),"")</f>
        <v/>
      </c>
      <c r="X516" s="84" t="str">
        <f t="array" ref="X516">IFERROR(INDEX(DFD!$K$2:$K$1048791,MATCH($Q516,DFD!$B$2:$B$1048791,0)),"")</f>
        <v/>
      </c>
      <c r="Y516" s="84" t="str">
        <f t="array" ref="Y516">IFERROR(INDEX(DFD!$L$2:$L$1048790,MATCH($Q516,DFD!$B$2:$B$1048790,0)),"")</f>
        <v/>
      </c>
      <c r="Z516" s="84">
        <f t="shared" si="13"/>
        <v>45</v>
      </c>
      <c r="AA516" s="59" t="s">
        <v>746</v>
      </c>
      <c r="AB516" s="59" t="s">
        <v>78</v>
      </c>
      <c r="AC516" s="59"/>
      <c r="AD516" s="85">
        <v>46043.0</v>
      </c>
      <c r="AE516" s="86">
        <f t="shared" si="8"/>
        <v>1</v>
      </c>
    </row>
    <row r="517" ht="15.75" customHeight="1">
      <c r="A517" s="87" t="s">
        <v>1666</v>
      </c>
      <c r="B517" s="87" t="s">
        <v>101</v>
      </c>
      <c r="C517" s="88" t="s">
        <v>1667</v>
      </c>
      <c r="D517" s="88" t="s">
        <v>51</v>
      </c>
      <c r="E517" s="88">
        <v>25.0</v>
      </c>
      <c r="F517" s="89">
        <v>111.0</v>
      </c>
      <c r="G517" s="90" t="s">
        <v>53</v>
      </c>
      <c r="H517" s="91">
        <v>46143.0</v>
      </c>
      <c r="I517" s="92" t="s">
        <v>17</v>
      </c>
      <c r="J517" s="92" t="s">
        <v>54</v>
      </c>
      <c r="K517" s="92" t="s">
        <v>66</v>
      </c>
      <c r="L517" s="92" t="s">
        <v>56</v>
      </c>
      <c r="M517" s="90" t="s">
        <v>167</v>
      </c>
      <c r="N517" s="92" t="s">
        <v>58</v>
      </c>
      <c r="O517" s="87" t="s">
        <v>69</v>
      </c>
      <c r="P517" s="87"/>
      <c r="Q517" s="87" t="s">
        <v>113</v>
      </c>
      <c r="R517" s="93" t="s">
        <v>616</v>
      </c>
      <c r="S517" s="87"/>
      <c r="T517" s="87"/>
      <c r="U517" s="94" t="str">
        <f t="array" ref="U517">IFERROR(INDEX(DFD!$D$2:$D$1048791,MATCH($Q517,DFD!$B$2:$B$1048791,0)),"")</f>
        <v/>
      </c>
      <c r="V517" s="94" t="str">
        <f t="array" ref="V517">IFERROR(INDEX(DFD!$F$2:$F$1048791,MATCH($Q517,DFD!$B$2:$B$1048791,0)),"")</f>
        <v/>
      </c>
      <c r="W517" s="97" t="str">
        <f t="array" ref="W517">IFERROR(INDEX(DFD!$E$2:$E$1048791,MATCH($Q517,DFD!$B$2:$B$1048791,0)),"")</f>
        <v/>
      </c>
      <c r="X517" s="97" t="str">
        <f t="array" ref="X517">IFERROR(INDEX(DFD!$K$2:$K$1048791,MATCH($Q517,DFD!$B$2:$B$1048791,0)),"")</f>
        <v/>
      </c>
      <c r="Y517" s="97" t="str">
        <f t="array" ref="Y517">IFERROR(INDEX(DFD!$L$2:$L$1048790,MATCH($Q517,DFD!$B$2:$B$1048790,0)),"")</f>
        <v/>
      </c>
      <c r="Z517" s="97">
        <f t="shared" si="13"/>
        <v>45</v>
      </c>
      <c r="AA517" s="87"/>
      <c r="AB517" s="87" t="s">
        <v>78</v>
      </c>
      <c r="AC517" s="87"/>
      <c r="AD517" s="99">
        <v>46043.0</v>
      </c>
      <c r="AE517" s="100">
        <f t="shared" si="8"/>
        <v>1</v>
      </c>
    </row>
    <row r="518" ht="15.75" customHeight="1">
      <c r="A518" s="67" t="s">
        <v>1668</v>
      </c>
      <c r="B518" s="59" t="s">
        <v>184</v>
      </c>
      <c r="C518" s="60" t="s">
        <v>1669</v>
      </c>
      <c r="D518" s="60" t="s">
        <v>749</v>
      </c>
      <c r="E518" s="60">
        <v>200.0</v>
      </c>
      <c r="F518" s="72">
        <v>1060.0</v>
      </c>
      <c r="G518" s="73" t="s">
        <v>53</v>
      </c>
      <c r="H518" s="74">
        <v>46266.0</v>
      </c>
      <c r="I518" s="67" t="s">
        <v>17</v>
      </c>
      <c r="J518" s="67" t="s">
        <v>54</v>
      </c>
      <c r="K518" s="67" t="s">
        <v>372</v>
      </c>
      <c r="L518" s="67" t="s">
        <v>67</v>
      </c>
      <c r="M518" s="73" t="s">
        <v>104</v>
      </c>
      <c r="N518" s="67" t="s">
        <v>20</v>
      </c>
      <c r="O518" s="59" t="s">
        <v>69</v>
      </c>
      <c r="P518" s="59"/>
      <c r="Q518" s="59" t="s">
        <v>113</v>
      </c>
      <c r="R518" s="76" t="s">
        <v>616</v>
      </c>
      <c r="S518" s="120"/>
      <c r="T518" s="59"/>
      <c r="U518" s="77" t="str">
        <f t="array" ref="U518">IFERROR(INDEX(DFD!$D$2:$D$1048791,MATCH($Q518,DFD!$B$2:$B$1048791,0)),"")</f>
        <v/>
      </c>
      <c r="V518" s="77" t="str">
        <f t="array" ref="V518">IFERROR(INDEX(DFD!$F$2:$F$1048791,MATCH($Q518,DFD!$B$2:$B$1048791,0)),"")</f>
        <v/>
      </c>
      <c r="W518" s="84" t="str">
        <f t="array" ref="W518">IFERROR(INDEX(DFD!$E$2:$E$1048791,MATCH($Q518,DFD!$B$2:$B$1048791,0)),"")</f>
        <v/>
      </c>
      <c r="X518" s="84" t="str">
        <f t="array" ref="X518">IFERROR(INDEX(DFD!$K$2:$K$1048791,MATCH($Q518,DFD!$B$2:$B$1048791,0)),"")</f>
        <v/>
      </c>
      <c r="Y518" s="84" t="str">
        <f t="array" ref="Y518">IFERROR(INDEX(DFD!$L$2:$L$1048790,MATCH($Q518,DFD!$B$2:$B$1048790,0)),"")</f>
        <v/>
      </c>
      <c r="Z518" s="84">
        <f t="shared" si="13"/>
        <v>45</v>
      </c>
      <c r="AA518" s="59" t="s">
        <v>746</v>
      </c>
      <c r="AB518" s="59" t="s">
        <v>78</v>
      </c>
      <c r="AC518" s="59"/>
      <c r="AD518" s="85">
        <v>46043.0</v>
      </c>
      <c r="AE518" s="86">
        <f t="shared" si="8"/>
        <v>1</v>
      </c>
    </row>
    <row r="519" ht="15.75" customHeight="1">
      <c r="A519" s="92" t="s">
        <v>1670</v>
      </c>
      <c r="B519" s="87" t="s">
        <v>184</v>
      </c>
      <c r="C519" s="88" t="s">
        <v>1671</v>
      </c>
      <c r="D519" s="88" t="s">
        <v>749</v>
      </c>
      <c r="E519" s="88">
        <v>200.0</v>
      </c>
      <c r="F519" s="89">
        <v>1040.0</v>
      </c>
      <c r="G519" s="90" t="s">
        <v>53</v>
      </c>
      <c r="H519" s="91">
        <v>46174.0</v>
      </c>
      <c r="I519" s="92" t="s">
        <v>17</v>
      </c>
      <c r="J519" s="92" t="s">
        <v>54</v>
      </c>
      <c r="K519" s="92" t="s">
        <v>66</v>
      </c>
      <c r="L519" s="92" t="s">
        <v>67</v>
      </c>
      <c r="M519" s="90" t="s">
        <v>57</v>
      </c>
      <c r="N519" s="92" t="s">
        <v>20</v>
      </c>
      <c r="O519" s="92" t="s">
        <v>89</v>
      </c>
      <c r="P519" s="87"/>
      <c r="Q519" s="87" t="s">
        <v>113</v>
      </c>
      <c r="R519" s="93" t="s">
        <v>616</v>
      </c>
      <c r="S519" s="87"/>
      <c r="T519" s="87"/>
      <c r="U519" s="94" t="str">
        <f t="array" ref="U519">IFERROR(INDEX(DFD!$D$2:$D$1048791,MATCH($Q519,DFD!$B$2:$B$1048791,0)),"")</f>
        <v/>
      </c>
      <c r="V519" s="94" t="str">
        <f t="array" ref="V519">IFERROR(INDEX(DFD!$F$2:$F$1048791,MATCH($Q519,DFD!$B$2:$B$1048791,0)),"")</f>
        <v/>
      </c>
      <c r="W519" s="97" t="str">
        <f t="array" ref="W519">IFERROR(INDEX(DFD!$E$2:$E$1048791,MATCH($Q519,DFD!$B$2:$B$1048791,0)),"")</f>
        <v/>
      </c>
      <c r="X519" s="97" t="str">
        <f t="array" ref="X519">IFERROR(INDEX(DFD!$K$2:$K$1048791,MATCH($Q519,DFD!$B$2:$B$1048791,0)),"")</f>
        <v/>
      </c>
      <c r="Y519" s="97" t="str">
        <f t="array" ref="Y519">IFERROR(INDEX(DFD!$L$2:$L$1048790,MATCH($Q519,DFD!$B$2:$B$1048790,0)),"")</f>
        <v/>
      </c>
      <c r="Z519" s="97">
        <f t="shared" si="13"/>
        <v>45</v>
      </c>
      <c r="AA519" s="87" t="s">
        <v>746</v>
      </c>
      <c r="AB519" s="87" t="s">
        <v>78</v>
      </c>
      <c r="AC519" s="87"/>
      <c r="AD519" s="99">
        <v>46043.0</v>
      </c>
      <c r="AE519" s="100">
        <f t="shared" si="8"/>
        <v>1</v>
      </c>
    </row>
    <row r="520" ht="15.75" customHeight="1">
      <c r="A520" s="67" t="s">
        <v>1672</v>
      </c>
      <c r="B520" s="59" t="s">
        <v>400</v>
      </c>
      <c r="C520" s="60" t="s">
        <v>1673</v>
      </c>
      <c r="D520" s="60" t="s">
        <v>51</v>
      </c>
      <c r="E520" s="60">
        <v>5.0</v>
      </c>
      <c r="F520" s="72">
        <v>75000.0</v>
      </c>
      <c r="G520" s="73" t="s">
        <v>53</v>
      </c>
      <c r="H520" s="74">
        <v>46266.0</v>
      </c>
      <c r="I520" s="67" t="s">
        <v>17</v>
      </c>
      <c r="J520" s="67" t="s">
        <v>54</v>
      </c>
      <c r="K520" s="67" t="s">
        <v>161</v>
      </c>
      <c r="L520" s="67" t="s">
        <v>56</v>
      </c>
      <c r="M520" s="73" t="s">
        <v>132</v>
      </c>
      <c r="N520" s="67" t="s">
        <v>20</v>
      </c>
      <c r="O520" s="59" t="s">
        <v>69</v>
      </c>
      <c r="P520" s="59"/>
      <c r="Q520" s="59" t="s">
        <v>1674</v>
      </c>
      <c r="R520" s="76" t="s">
        <v>164</v>
      </c>
      <c r="S520" s="59"/>
      <c r="T520" s="59"/>
      <c r="U520" s="77" t="str">
        <f t="array" ref="U520">IFERROR(INDEX(DFD!$D$2:$D$1048791,MATCH($Q520,DFD!$B$2:$B$1048791,0)),"")</f>
        <v/>
      </c>
      <c r="V520" s="77" t="str">
        <f t="array" ref="V520">IFERROR(INDEX(DFD!$F$2:$F$1048791,MATCH($Q520,DFD!$B$2:$B$1048791,0)),"")</f>
        <v/>
      </c>
      <c r="W520" s="84" t="str">
        <f t="array" ref="W520">IFERROR(INDEX(DFD!$E$2:$E$1048791,MATCH($Q520,DFD!$B$2:$B$1048791,0)),"")</f>
        <v/>
      </c>
      <c r="X520" s="84" t="str">
        <f t="array" ref="X520">IFERROR(INDEX(DFD!$K$2:$K$1048791,MATCH($Q520,DFD!$B$2:$B$1048791,0)),"")</f>
        <v/>
      </c>
      <c r="Y520" s="84" t="str">
        <f t="array" ref="Y520">IFERROR(INDEX(DFD!$L$2:$L$1048790,MATCH($Q520,DFD!$B$2:$B$1048790,0)),"")</f>
        <v/>
      </c>
      <c r="Z520" s="84">
        <f t="shared" si="13"/>
        <v>45</v>
      </c>
      <c r="AA520" s="59"/>
      <c r="AB520" s="59" t="s">
        <v>78</v>
      </c>
      <c r="AC520" s="59"/>
      <c r="AD520" s="85">
        <v>46043.0</v>
      </c>
      <c r="AE520" s="86">
        <f t="shared" si="8"/>
        <v>1</v>
      </c>
    </row>
    <row r="521" ht="15.75" customHeight="1">
      <c r="A521" s="92" t="s">
        <v>1675</v>
      </c>
      <c r="B521" s="87" t="s">
        <v>184</v>
      </c>
      <c r="C521" s="88" t="s">
        <v>1676</v>
      </c>
      <c r="D521" s="88" t="s">
        <v>51</v>
      </c>
      <c r="E521" s="88">
        <v>30.0</v>
      </c>
      <c r="F521" s="89">
        <v>150.0</v>
      </c>
      <c r="G521" s="90" t="s">
        <v>53</v>
      </c>
      <c r="H521" s="91">
        <v>46143.0</v>
      </c>
      <c r="I521" s="92" t="s">
        <v>17</v>
      </c>
      <c r="J521" s="92" t="s">
        <v>54</v>
      </c>
      <c r="K521" s="92" t="s">
        <v>66</v>
      </c>
      <c r="L521" s="92" t="s">
        <v>67</v>
      </c>
      <c r="M521" s="90" t="s">
        <v>57</v>
      </c>
      <c r="N521" s="92" t="s">
        <v>20</v>
      </c>
      <c r="O521" s="87" t="s">
        <v>69</v>
      </c>
      <c r="P521" s="87"/>
      <c r="Q521" s="87" t="s">
        <v>286</v>
      </c>
      <c r="R521" s="93" t="s">
        <v>287</v>
      </c>
      <c r="S521" s="87"/>
      <c r="T521" s="87"/>
      <c r="U521" s="94" t="str">
        <f t="array" ref="U521">IFERROR(INDEX(DFD!$D$2:$D$1048791,MATCH($Q521,DFD!$B$2:$B$1048791,0)),"")</f>
        <v/>
      </c>
      <c r="V521" s="94" t="str">
        <f t="array" ref="V521">IFERROR(INDEX(DFD!$F$2:$F$1048791,MATCH($Q521,DFD!$B$2:$B$1048791,0)),"")</f>
        <v/>
      </c>
      <c r="W521" s="97" t="str">
        <f t="array" ref="W521">IFERROR(INDEX(DFD!$E$2:$E$1048791,MATCH($Q521,DFD!$B$2:$B$1048791,0)),"")</f>
        <v/>
      </c>
      <c r="X521" s="97" t="str">
        <f t="array" ref="X521">IFERROR(INDEX(DFD!$K$2:$K$1048791,MATCH($Q521,DFD!$B$2:$B$1048791,0)),"")</f>
        <v/>
      </c>
      <c r="Y521" s="97" t="str">
        <f t="array" ref="Y521">IFERROR(INDEX(DFD!$L$2:$L$1048790,MATCH($Q521,DFD!$B$2:$B$1048790,0)),"")</f>
        <v/>
      </c>
      <c r="Z521" s="97">
        <f t="shared" si="13"/>
        <v>45</v>
      </c>
      <c r="AA521" s="87"/>
      <c r="AB521" s="87" t="s">
        <v>288</v>
      </c>
      <c r="AC521" s="87"/>
      <c r="AD521" s="99">
        <v>46043.0</v>
      </c>
      <c r="AE521" s="100">
        <f t="shared" si="8"/>
        <v>1</v>
      </c>
    </row>
    <row r="522" ht="15.75" customHeight="1">
      <c r="A522" s="67" t="s">
        <v>1677</v>
      </c>
      <c r="B522" s="59" t="s">
        <v>184</v>
      </c>
      <c r="C522" s="60" t="s">
        <v>1678</v>
      </c>
      <c r="D522" s="60" t="s">
        <v>51</v>
      </c>
      <c r="E522" s="60">
        <v>300.0</v>
      </c>
      <c r="F522" s="72">
        <v>2280.0</v>
      </c>
      <c r="G522" s="73" t="s">
        <v>53</v>
      </c>
      <c r="H522" s="74">
        <v>46174.0</v>
      </c>
      <c r="I522" s="67" t="s">
        <v>17</v>
      </c>
      <c r="J522" s="67" t="s">
        <v>54</v>
      </c>
      <c r="K522" s="67" t="s">
        <v>66</v>
      </c>
      <c r="L522" s="67" t="s">
        <v>67</v>
      </c>
      <c r="M522" s="73" t="s">
        <v>57</v>
      </c>
      <c r="N522" s="67" t="s">
        <v>20</v>
      </c>
      <c r="O522" s="67" t="s">
        <v>89</v>
      </c>
      <c r="P522" s="59"/>
      <c r="Q522" s="59" t="s">
        <v>286</v>
      </c>
      <c r="R522" s="76" t="s">
        <v>287</v>
      </c>
      <c r="S522" s="59"/>
      <c r="T522" s="59"/>
      <c r="U522" s="77" t="str">
        <f t="array" ref="U522">IFERROR(INDEX(DFD!$D$2:$D$1048791,MATCH($Q522,DFD!$B$2:$B$1048791,0)),"")</f>
        <v/>
      </c>
      <c r="V522" s="77" t="str">
        <f t="array" ref="V522">IFERROR(INDEX(DFD!$F$2:$F$1048791,MATCH($Q522,DFD!$B$2:$B$1048791,0)),"")</f>
        <v/>
      </c>
      <c r="W522" s="84" t="str">
        <f t="array" ref="W522">IFERROR(INDEX(DFD!$E$2:$E$1048791,MATCH($Q522,DFD!$B$2:$B$1048791,0)),"")</f>
        <v/>
      </c>
      <c r="X522" s="84" t="str">
        <f t="array" ref="X522">IFERROR(INDEX(DFD!$K$2:$K$1048791,MATCH($Q522,DFD!$B$2:$B$1048791,0)),"")</f>
        <v/>
      </c>
      <c r="Y522" s="84" t="str">
        <f t="array" ref="Y522">IFERROR(INDEX(DFD!$L$2:$L$1048790,MATCH($Q522,DFD!$B$2:$B$1048790,0)),"")</f>
        <v/>
      </c>
      <c r="Z522" s="84">
        <f t="shared" si="13"/>
        <v>45</v>
      </c>
      <c r="AA522" s="59"/>
      <c r="AB522" s="59" t="s">
        <v>288</v>
      </c>
      <c r="AC522" s="59"/>
      <c r="AD522" s="85">
        <v>46043.0</v>
      </c>
      <c r="AE522" s="86">
        <f t="shared" si="8"/>
        <v>1</v>
      </c>
    </row>
    <row r="523" ht="15.75" customHeight="1">
      <c r="A523" s="92" t="s">
        <v>1679</v>
      </c>
      <c r="B523" s="87" t="s">
        <v>184</v>
      </c>
      <c r="C523" s="88" t="s">
        <v>1680</v>
      </c>
      <c r="D523" s="88" t="s">
        <v>51</v>
      </c>
      <c r="E523" s="88">
        <v>50.0</v>
      </c>
      <c r="F523" s="89">
        <v>925.0</v>
      </c>
      <c r="G523" s="90" t="s">
        <v>53</v>
      </c>
      <c r="H523" s="91">
        <v>46174.0</v>
      </c>
      <c r="I523" s="92" t="s">
        <v>17</v>
      </c>
      <c r="J523" s="92" t="s">
        <v>54</v>
      </c>
      <c r="K523" s="92" t="s">
        <v>66</v>
      </c>
      <c r="L523" s="92" t="s">
        <v>67</v>
      </c>
      <c r="M523" s="90" t="s">
        <v>57</v>
      </c>
      <c r="N523" s="92" t="s">
        <v>20</v>
      </c>
      <c r="O523" s="87" t="s">
        <v>69</v>
      </c>
      <c r="P523" s="87"/>
      <c r="Q523" s="87" t="s">
        <v>113</v>
      </c>
      <c r="R523" s="93" t="s">
        <v>287</v>
      </c>
      <c r="S523" s="87"/>
      <c r="T523" s="87"/>
      <c r="U523" s="94" t="str">
        <f t="array" ref="U523">IFERROR(INDEX(DFD!$D$2:$D$1048791,MATCH($Q523,DFD!$B$2:$B$1048791,0)),"")</f>
        <v/>
      </c>
      <c r="V523" s="94" t="str">
        <f t="array" ref="V523">IFERROR(INDEX(DFD!$F$2:$F$1048791,MATCH($Q523,DFD!$B$2:$B$1048791,0)),"")</f>
        <v/>
      </c>
      <c r="W523" s="97" t="str">
        <f t="array" ref="W523">IFERROR(INDEX(DFD!$E$2:$E$1048791,MATCH($Q523,DFD!$B$2:$B$1048791,0)),"")</f>
        <v/>
      </c>
      <c r="X523" s="97" t="str">
        <f t="array" ref="X523">IFERROR(INDEX(DFD!$K$2:$K$1048791,MATCH($Q523,DFD!$B$2:$B$1048791,0)),"")</f>
        <v/>
      </c>
      <c r="Y523" s="97" t="str">
        <f t="array" ref="Y523">IFERROR(INDEX(DFD!$L$2:$L$1048790,MATCH($Q523,DFD!$B$2:$B$1048790,0)),"")</f>
        <v/>
      </c>
      <c r="Z523" s="97">
        <f t="shared" si="13"/>
        <v>45</v>
      </c>
      <c r="AA523" s="87" t="s">
        <v>746</v>
      </c>
      <c r="AB523" s="87" t="s">
        <v>78</v>
      </c>
      <c r="AC523" s="87"/>
      <c r="AD523" s="99">
        <v>46043.0</v>
      </c>
      <c r="AE523" s="100">
        <f t="shared" si="8"/>
        <v>1</v>
      </c>
    </row>
    <row r="524" ht="15.75" customHeight="1">
      <c r="A524" s="67" t="s">
        <v>1681</v>
      </c>
      <c r="B524" s="59" t="s">
        <v>184</v>
      </c>
      <c r="C524" s="60" t="s">
        <v>1682</v>
      </c>
      <c r="D524" s="60" t="s">
        <v>51</v>
      </c>
      <c r="E524" s="81">
        <v>50.0</v>
      </c>
      <c r="F524" s="101">
        <v>319.0</v>
      </c>
      <c r="G524" s="73" t="s">
        <v>53</v>
      </c>
      <c r="H524" s="74">
        <v>46266.0</v>
      </c>
      <c r="I524" s="67" t="s">
        <v>17</v>
      </c>
      <c r="J524" s="67" t="s">
        <v>54</v>
      </c>
      <c r="K524" s="67" t="s">
        <v>372</v>
      </c>
      <c r="L524" s="67" t="s">
        <v>67</v>
      </c>
      <c r="M524" s="73" t="s">
        <v>104</v>
      </c>
      <c r="N524" s="67" t="s">
        <v>20</v>
      </c>
      <c r="O524" s="59" t="s">
        <v>69</v>
      </c>
      <c r="P524" s="59"/>
      <c r="Q524" s="59" t="s">
        <v>113</v>
      </c>
      <c r="R524" s="76" t="s">
        <v>616</v>
      </c>
      <c r="S524" s="59"/>
      <c r="T524" s="59"/>
      <c r="U524" s="77" t="str">
        <f t="array" ref="U524">IFERROR(INDEX(DFD!$D$2:$D$1048791,MATCH($Q524,DFD!$B$2:$B$1048791,0)),"")</f>
        <v/>
      </c>
      <c r="V524" s="77" t="str">
        <f t="array" ref="V524">IFERROR(INDEX(DFD!$F$2:$F$1048791,MATCH($Q524,DFD!$B$2:$B$1048791,0)),"")</f>
        <v/>
      </c>
      <c r="W524" s="84" t="str">
        <f t="array" ref="W524">IFERROR(INDEX(DFD!$E$2:$E$1048791,MATCH($Q524,DFD!$B$2:$B$1048791,0)),"")</f>
        <v/>
      </c>
      <c r="X524" s="84" t="str">
        <f t="array" ref="X524">IFERROR(INDEX(DFD!$K$2:$K$1048791,MATCH($Q524,DFD!$B$2:$B$1048791,0)),"")</f>
        <v/>
      </c>
      <c r="Y524" s="84" t="str">
        <f t="array" ref="Y524">IFERROR(INDEX(DFD!$L$2:$L$1048790,MATCH($Q524,DFD!$B$2:$B$1048790,0)),"")</f>
        <v/>
      </c>
      <c r="Z524" s="84">
        <f t="shared" si="13"/>
        <v>45</v>
      </c>
      <c r="AA524" s="59" t="s">
        <v>746</v>
      </c>
      <c r="AB524" s="59" t="s">
        <v>78</v>
      </c>
      <c r="AC524" s="59"/>
      <c r="AD524" s="85">
        <v>46043.0</v>
      </c>
      <c r="AE524" s="86">
        <f t="shared" si="8"/>
        <v>1</v>
      </c>
    </row>
    <row r="525" ht="15.75" customHeight="1">
      <c r="A525" s="92" t="s">
        <v>1683</v>
      </c>
      <c r="B525" s="87" t="s">
        <v>184</v>
      </c>
      <c r="C525" s="88" t="s">
        <v>1684</v>
      </c>
      <c r="D525" s="88" t="s">
        <v>51</v>
      </c>
      <c r="E525" s="88">
        <v>50.0</v>
      </c>
      <c r="F525" s="89">
        <v>319.0</v>
      </c>
      <c r="G525" s="90" t="s">
        <v>53</v>
      </c>
      <c r="H525" s="91">
        <v>46174.0</v>
      </c>
      <c r="I525" s="92" t="s">
        <v>17</v>
      </c>
      <c r="J525" s="92" t="s">
        <v>54</v>
      </c>
      <c r="K525" s="92" t="s">
        <v>66</v>
      </c>
      <c r="L525" s="92" t="s">
        <v>67</v>
      </c>
      <c r="M525" s="90" t="s">
        <v>57</v>
      </c>
      <c r="N525" s="92" t="s">
        <v>20</v>
      </c>
      <c r="O525" s="92" t="s">
        <v>89</v>
      </c>
      <c r="P525" s="87"/>
      <c r="Q525" s="87" t="s">
        <v>113</v>
      </c>
      <c r="R525" s="93" t="s">
        <v>616</v>
      </c>
      <c r="S525" s="87"/>
      <c r="T525" s="87"/>
      <c r="U525" s="94" t="str">
        <f t="array" ref="U525">IFERROR(INDEX(DFD!$D$2:$D$1048791,MATCH($Q525,DFD!$B$2:$B$1048791,0)),"")</f>
        <v/>
      </c>
      <c r="V525" s="94" t="str">
        <f t="array" ref="V525">IFERROR(INDEX(DFD!$F$2:$F$1048791,MATCH($Q525,DFD!$B$2:$B$1048791,0)),"")</f>
        <v/>
      </c>
      <c r="W525" s="97" t="str">
        <f t="array" ref="W525">IFERROR(INDEX(DFD!$E$2:$E$1048791,MATCH($Q525,DFD!$B$2:$B$1048791,0)),"")</f>
        <v/>
      </c>
      <c r="X525" s="97" t="str">
        <f t="array" ref="X525">IFERROR(INDEX(DFD!$K$2:$K$1048791,MATCH($Q525,DFD!$B$2:$B$1048791,0)),"")</f>
        <v/>
      </c>
      <c r="Y525" s="97" t="str">
        <f t="array" ref="Y525">IFERROR(INDEX(DFD!$L$2:$L$1048790,MATCH($Q525,DFD!$B$2:$B$1048790,0)),"")</f>
        <v/>
      </c>
      <c r="Z525" s="97">
        <f t="shared" si="13"/>
        <v>45</v>
      </c>
      <c r="AA525" s="87" t="s">
        <v>746</v>
      </c>
      <c r="AB525" s="87" t="s">
        <v>78</v>
      </c>
      <c r="AC525" s="87"/>
      <c r="AD525" s="99">
        <v>46043.0</v>
      </c>
      <c r="AE525" s="100">
        <f t="shared" si="8"/>
        <v>1</v>
      </c>
    </row>
    <row r="526" ht="15.75" customHeight="1">
      <c r="A526" s="67" t="s">
        <v>1685</v>
      </c>
      <c r="B526" s="59" t="s">
        <v>184</v>
      </c>
      <c r="C526" s="60" t="s">
        <v>1686</v>
      </c>
      <c r="D526" s="60" t="s">
        <v>51</v>
      </c>
      <c r="E526" s="60">
        <v>100.0</v>
      </c>
      <c r="F526" s="72">
        <v>1550.0</v>
      </c>
      <c r="G526" s="73" t="s">
        <v>53</v>
      </c>
      <c r="H526" s="74">
        <v>46174.0</v>
      </c>
      <c r="I526" s="67" t="s">
        <v>17</v>
      </c>
      <c r="J526" s="67" t="s">
        <v>54</v>
      </c>
      <c r="K526" s="67" t="s">
        <v>66</v>
      </c>
      <c r="L526" s="67" t="s">
        <v>67</v>
      </c>
      <c r="M526" s="73" t="s">
        <v>167</v>
      </c>
      <c r="N526" s="67" t="s">
        <v>20</v>
      </c>
      <c r="O526" s="59" t="s">
        <v>69</v>
      </c>
      <c r="P526" s="59"/>
      <c r="Q526" s="59" t="s">
        <v>286</v>
      </c>
      <c r="R526" s="76" t="s">
        <v>287</v>
      </c>
      <c r="S526" s="59"/>
      <c r="T526" s="59"/>
      <c r="U526" s="77" t="str">
        <f t="array" ref="U526">IFERROR(INDEX(DFD!$D$2:$D$1048791,MATCH($Q526,DFD!$B$2:$B$1048791,0)),"")</f>
        <v/>
      </c>
      <c r="V526" s="77" t="str">
        <f t="array" ref="V526">IFERROR(INDEX(DFD!$F$2:$F$1048791,MATCH($Q526,DFD!$B$2:$B$1048791,0)),"")</f>
        <v/>
      </c>
      <c r="W526" s="84" t="str">
        <f t="array" ref="W526">IFERROR(INDEX(DFD!$E$2:$E$1048791,MATCH($Q526,DFD!$B$2:$B$1048791,0)),"")</f>
        <v/>
      </c>
      <c r="X526" s="84" t="str">
        <f t="array" ref="X526">IFERROR(INDEX(DFD!$K$2:$K$1048791,MATCH($Q526,DFD!$B$2:$B$1048791,0)),"")</f>
        <v/>
      </c>
      <c r="Y526" s="84" t="str">
        <f t="array" ref="Y526">IFERROR(INDEX(DFD!$L$2:$L$1048790,MATCH($Q526,DFD!$B$2:$B$1048790,0)),"")</f>
        <v/>
      </c>
      <c r="Z526" s="84">
        <f t="shared" si="13"/>
        <v>45</v>
      </c>
      <c r="AA526" s="59"/>
      <c r="AB526" s="59" t="s">
        <v>288</v>
      </c>
      <c r="AC526" s="59"/>
      <c r="AD526" s="85">
        <v>46043.0</v>
      </c>
      <c r="AE526" s="86">
        <f t="shared" si="8"/>
        <v>1</v>
      </c>
    </row>
    <row r="527" ht="15.75" customHeight="1">
      <c r="A527" s="87" t="s">
        <v>1687</v>
      </c>
      <c r="B527" s="87" t="s">
        <v>105</v>
      </c>
      <c r="C527" s="88" t="s">
        <v>1688</v>
      </c>
      <c r="D527" s="88" t="s">
        <v>51</v>
      </c>
      <c r="E527" s="88">
        <v>10.0</v>
      </c>
      <c r="F527" s="89">
        <v>350.0</v>
      </c>
      <c r="G527" s="90" t="s">
        <v>53</v>
      </c>
      <c r="H527" s="91">
        <v>46174.0</v>
      </c>
      <c r="I527" s="92" t="s">
        <v>17</v>
      </c>
      <c r="J527" s="92" t="s">
        <v>54</v>
      </c>
      <c r="K527" s="92" t="s">
        <v>66</v>
      </c>
      <c r="L527" s="92" t="s">
        <v>67</v>
      </c>
      <c r="M527" s="90" t="s">
        <v>167</v>
      </c>
      <c r="N527" s="92" t="s">
        <v>58</v>
      </c>
      <c r="O527" s="87" t="s">
        <v>69</v>
      </c>
      <c r="P527" s="87"/>
      <c r="Q527" s="87" t="s">
        <v>756</v>
      </c>
      <c r="R527" s="93" t="s">
        <v>71</v>
      </c>
      <c r="S527" s="87"/>
      <c r="T527" s="87"/>
      <c r="U527" s="94" t="s">
        <v>668</v>
      </c>
      <c r="V527" s="94" t="str">
        <f t="array" ref="V527">IFERROR(INDEX(DFD!$F$2:$F$1048791,MATCH($Q527,DFD!$B$2:$B$1048791,0)),"")</f>
        <v/>
      </c>
      <c r="W527" s="97" t="str">
        <f t="array" ref="W527">IFERROR(INDEX(DFD!$E$2:$E$1048791,MATCH($Q527,DFD!$B$2:$B$1048791,0)),"")</f>
        <v/>
      </c>
      <c r="X527" s="97" t="str">
        <f t="array" ref="X527">IFERROR(INDEX(DFD!$K$2:$K$1048791,MATCH($Q527,DFD!$B$2:$B$1048791,0)),"")</f>
        <v/>
      </c>
      <c r="Y527" s="97" t="str">
        <f t="array" ref="Y527">IFERROR(INDEX(DFD!$L$2:$L$1048790,MATCH($Q527,DFD!$B$2:$B$1048790,0)),"")</f>
        <v/>
      </c>
      <c r="Z527" s="97">
        <f t="shared" si="13"/>
        <v>45</v>
      </c>
      <c r="AA527" s="87"/>
      <c r="AB527" s="87" t="s">
        <v>78</v>
      </c>
      <c r="AC527" s="87"/>
      <c r="AD527" s="99">
        <v>46043.0</v>
      </c>
      <c r="AE527" s="100">
        <f t="shared" si="8"/>
        <v>1</v>
      </c>
    </row>
    <row r="528" ht="15.75" customHeight="1">
      <c r="A528" s="59" t="s">
        <v>1689</v>
      </c>
      <c r="B528" s="59" t="s">
        <v>105</v>
      </c>
      <c r="C528" s="60" t="s">
        <v>1690</v>
      </c>
      <c r="D528" s="60" t="s">
        <v>51</v>
      </c>
      <c r="E528" s="60">
        <v>10.0</v>
      </c>
      <c r="F528" s="72">
        <v>500.0</v>
      </c>
      <c r="G528" s="73" t="s">
        <v>53</v>
      </c>
      <c r="H528" s="74">
        <v>46174.0</v>
      </c>
      <c r="I528" s="67" t="s">
        <v>17</v>
      </c>
      <c r="J528" s="67" t="s">
        <v>54</v>
      </c>
      <c r="K528" s="67" t="s">
        <v>66</v>
      </c>
      <c r="L528" s="67" t="s">
        <v>67</v>
      </c>
      <c r="M528" s="73" t="s">
        <v>167</v>
      </c>
      <c r="N528" s="67" t="s">
        <v>58</v>
      </c>
      <c r="O528" s="67" t="s">
        <v>89</v>
      </c>
      <c r="P528" s="59"/>
      <c r="Q528" s="59" t="s">
        <v>756</v>
      </c>
      <c r="R528" s="76" t="s">
        <v>71</v>
      </c>
      <c r="S528" s="59"/>
      <c r="T528" s="59"/>
      <c r="U528" s="77" t="s">
        <v>668</v>
      </c>
      <c r="V528" s="77" t="str">
        <f t="array" ref="V528">IFERROR(INDEX(DFD!$F$2:$F$1048791,MATCH($Q528,DFD!$B$2:$B$1048791,0)),"")</f>
        <v/>
      </c>
      <c r="W528" s="84" t="str">
        <f t="array" ref="W528">IFERROR(INDEX(DFD!$E$2:$E$1048791,MATCH($Q528,DFD!$B$2:$B$1048791,0)),"")</f>
        <v/>
      </c>
      <c r="X528" s="84" t="str">
        <f t="array" ref="X528">IFERROR(INDEX(DFD!$K$2:$K$1048791,MATCH($Q528,DFD!$B$2:$B$1048791,0)),"")</f>
        <v/>
      </c>
      <c r="Y528" s="84" t="str">
        <f t="array" ref="Y528">IFERROR(INDEX(DFD!$L$2:$L$1048790,MATCH($Q528,DFD!$B$2:$B$1048790,0)),"")</f>
        <v/>
      </c>
      <c r="Z528" s="84">
        <f t="shared" si="13"/>
        <v>45</v>
      </c>
      <c r="AA528" s="59"/>
      <c r="AB528" s="59" t="s">
        <v>78</v>
      </c>
      <c r="AC528" s="59"/>
      <c r="AD528" s="85">
        <v>46043.0</v>
      </c>
      <c r="AE528" s="86">
        <f t="shared" si="8"/>
        <v>1</v>
      </c>
    </row>
    <row r="529" ht="15.75" customHeight="1">
      <c r="A529" s="87" t="s">
        <v>1691</v>
      </c>
      <c r="B529" s="87" t="s">
        <v>101</v>
      </c>
      <c r="C529" s="88" t="s">
        <v>1692</v>
      </c>
      <c r="D529" s="88" t="s">
        <v>51</v>
      </c>
      <c r="E529" s="88">
        <v>200.0</v>
      </c>
      <c r="F529" s="89">
        <v>1920.0</v>
      </c>
      <c r="G529" s="90" t="s">
        <v>53</v>
      </c>
      <c r="H529" s="91">
        <v>46174.0</v>
      </c>
      <c r="I529" s="92" t="s">
        <v>17</v>
      </c>
      <c r="J529" s="92" t="s">
        <v>54</v>
      </c>
      <c r="K529" s="92" t="s">
        <v>66</v>
      </c>
      <c r="L529" s="92" t="s">
        <v>56</v>
      </c>
      <c r="M529" s="90" t="s">
        <v>132</v>
      </c>
      <c r="N529" s="92" t="s">
        <v>58</v>
      </c>
      <c r="O529" s="87" t="s">
        <v>69</v>
      </c>
      <c r="P529" s="87"/>
      <c r="Q529" s="87" t="s">
        <v>756</v>
      </c>
      <c r="R529" s="93" t="s">
        <v>71</v>
      </c>
      <c r="S529" s="87"/>
      <c r="T529" s="87"/>
      <c r="U529" s="94" t="s">
        <v>668</v>
      </c>
      <c r="V529" s="94" t="str">
        <f t="array" ref="V529">IFERROR(INDEX(DFD!$F$2:$F$1048791,MATCH($Q529,DFD!$B$2:$B$1048791,0)),"")</f>
        <v/>
      </c>
      <c r="W529" s="97" t="str">
        <f t="array" ref="W529">IFERROR(INDEX(DFD!$E$2:$E$1048791,MATCH($Q529,DFD!$B$2:$B$1048791,0)),"")</f>
        <v/>
      </c>
      <c r="X529" s="97" t="str">
        <f t="array" ref="X529">IFERROR(INDEX(DFD!$K$2:$K$1048791,MATCH($Q529,DFD!$B$2:$B$1048791,0)),"")</f>
        <v/>
      </c>
      <c r="Y529" s="97" t="str">
        <f t="array" ref="Y529">IFERROR(INDEX(DFD!$L$2:$L$1048790,MATCH($Q529,DFD!$B$2:$B$1048790,0)),"")</f>
        <v/>
      </c>
      <c r="Z529" s="97">
        <f t="shared" si="13"/>
        <v>45</v>
      </c>
      <c r="AA529" s="87"/>
      <c r="AB529" s="87" t="s">
        <v>78</v>
      </c>
      <c r="AC529" s="87"/>
      <c r="AD529" s="99">
        <v>46043.0</v>
      </c>
      <c r="AE529" s="100">
        <f t="shared" si="8"/>
        <v>1</v>
      </c>
    </row>
    <row r="530" ht="15.75" customHeight="1">
      <c r="A530" s="59" t="s">
        <v>1693</v>
      </c>
      <c r="B530" s="59" t="s">
        <v>101</v>
      </c>
      <c r="C530" s="60" t="s">
        <v>1694</v>
      </c>
      <c r="D530" s="60" t="s">
        <v>51</v>
      </c>
      <c r="E530" s="60">
        <v>60.0</v>
      </c>
      <c r="F530" s="72">
        <v>6000.0</v>
      </c>
      <c r="G530" s="73" t="s">
        <v>53</v>
      </c>
      <c r="H530" s="74">
        <v>46204.0</v>
      </c>
      <c r="I530" s="67" t="s">
        <v>17</v>
      </c>
      <c r="J530" s="67" t="s">
        <v>54</v>
      </c>
      <c r="K530" s="67" t="s">
        <v>66</v>
      </c>
      <c r="L530" s="67" t="s">
        <v>56</v>
      </c>
      <c r="M530" s="73" t="s">
        <v>167</v>
      </c>
      <c r="N530" s="67" t="s">
        <v>58</v>
      </c>
      <c r="O530" s="59" t="s">
        <v>69</v>
      </c>
      <c r="P530" s="59"/>
      <c r="Q530" s="59" t="s">
        <v>756</v>
      </c>
      <c r="R530" s="76" t="s">
        <v>71</v>
      </c>
      <c r="S530" s="59"/>
      <c r="T530" s="59"/>
      <c r="U530" s="77" t="s">
        <v>668</v>
      </c>
      <c r="V530" s="77" t="str">
        <f t="array" ref="V530">IFERROR(INDEX(DFD!$F$2:$F$1048791,MATCH($Q530,DFD!$B$2:$B$1048791,0)),"")</f>
        <v/>
      </c>
      <c r="W530" s="84" t="str">
        <f t="array" ref="W530">IFERROR(INDEX(DFD!$E$2:$E$1048791,MATCH($Q530,DFD!$B$2:$B$1048791,0)),"")</f>
        <v/>
      </c>
      <c r="X530" s="84" t="str">
        <f t="array" ref="X530">IFERROR(INDEX(DFD!$K$2:$K$1048791,MATCH($Q530,DFD!$B$2:$B$1048791,0)),"")</f>
        <v/>
      </c>
      <c r="Y530" s="84" t="str">
        <f t="array" ref="Y530">IFERROR(INDEX(DFD!$L$2:$L$1048790,MATCH($Q530,DFD!$B$2:$B$1048790,0)),"")</f>
        <v/>
      </c>
      <c r="Z530" s="84">
        <f t="shared" si="13"/>
        <v>45</v>
      </c>
      <c r="AA530" s="59"/>
      <c r="AB530" s="59" t="s">
        <v>78</v>
      </c>
      <c r="AC530" s="59"/>
      <c r="AD530" s="85">
        <v>46043.0</v>
      </c>
      <c r="AE530" s="86">
        <f t="shared" si="8"/>
        <v>1</v>
      </c>
    </row>
    <row r="531" ht="15.75" customHeight="1">
      <c r="A531" s="87" t="s">
        <v>1695</v>
      </c>
      <c r="B531" s="87" t="s">
        <v>355</v>
      </c>
      <c r="C531" s="88" t="s">
        <v>1694</v>
      </c>
      <c r="D531" s="88" t="s">
        <v>51</v>
      </c>
      <c r="E531" s="88">
        <v>10.0</v>
      </c>
      <c r="F531" s="89">
        <v>1000.0</v>
      </c>
      <c r="G531" s="90" t="s">
        <v>53</v>
      </c>
      <c r="H531" s="91">
        <v>46174.0</v>
      </c>
      <c r="I531" s="92" t="s">
        <v>17</v>
      </c>
      <c r="J531" s="92" t="s">
        <v>54</v>
      </c>
      <c r="K531" s="92" t="s">
        <v>66</v>
      </c>
      <c r="L531" s="92" t="s">
        <v>56</v>
      </c>
      <c r="M531" s="90" t="s">
        <v>132</v>
      </c>
      <c r="N531" s="92" t="s">
        <v>58</v>
      </c>
      <c r="O531" s="92" t="s">
        <v>89</v>
      </c>
      <c r="P531" s="87"/>
      <c r="Q531" s="87" t="s">
        <v>52</v>
      </c>
      <c r="R531" s="93" t="s">
        <v>71</v>
      </c>
      <c r="S531" s="87"/>
      <c r="T531" s="87"/>
      <c r="U531" s="94" t="str">
        <f t="array" ref="U531">IFERROR(INDEX(DFD!$D$2:$D$1048791,MATCH($Q531,DFD!$B$2:$B$1048791,0)),"")</f>
        <v/>
      </c>
      <c r="V531" s="94" t="str">
        <f t="array" ref="V531">IFERROR(INDEX(DFD!$F$2:$F$1048791,MATCH($Q531,DFD!$B$2:$B$1048791,0)),"")</f>
        <v/>
      </c>
      <c r="W531" s="97" t="str">
        <f t="array" ref="W531">IFERROR(INDEX(DFD!$E$2:$E$1048791,MATCH($Q531,DFD!$B$2:$B$1048791,0)),"")</f>
        <v/>
      </c>
      <c r="X531" s="97" t="str">
        <f t="array" ref="X531">IFERROR(INDEX(DFD!$K$2:$K$1048791,MATCH($Q531,DFD!$B$2:$B$1048791,0)),"")</f>
        <v/>
      </c>
      <c r="Y531" s="97" t="str">
        <f t="array" ref="Y531">IFERROR(INDEX(DFD!$L$2:$L$1048790,MATCH($Q531,DFD!$B$2:$B$1048790,0)),"")</f>
        <v/>
      </c>
      <c r="Z531" s="97">
        <f t="shared" si="13"/>
        <v>45</v>
      </c>
      <c r="AA531" s="87"/>
      <c r="AB531" s="87" t="s">
        <v>72</v>
      </c>
      <c r="AC531" s="87"/>
      <c r="AD531" s="99">
        <v>46043.0</v>
      </c>
      <c r="AE531" s="100">
        <f t="shared" si="8"/>
        <v>1</v>
      </c>
    </row>
    <row r="532" ht="15.75" customHeight="1">
      <c r="A532" s="59" t="s">
        <v>1696</v>
      </c>
      <c r="B532" s="59" t="s">
        <v>101</v>
      </c>
      <c r="C532" s="60" t="s">
        <v>1697</v>
      </c>
      <c r="D532" s="60" t="s">
        <v>51</v>
      </c>
      <c r="E532" s="60">
        <v>60.0</v>
      </c>
      <c r="F532" s="72">
        <v>7200.0</v>
      </c>
      <c r="G532" s="73" t="s">
        <v>53</v>
      </c>
      <c r="H532" s="74">
        <v>46204.0</v>
      </c>
      <c r="I532" s="67" t="s">
        <v>17</v>
      </c>
      <c r="J532" s="67" t="s">
        <v>54</v>
      </c>
      <c r="K532" s="67" t="s">
        <v>66</v>
      </c>
      <c r="L532" s="67" t="s">
        <v>56</v>
      </c>
      <c r="M532" s="73" t="s">
        <v>68</v>
      </c>
      <c r="N532" s="67" t="s">
        <v>58</v>
      </c>
      <c r="O532" s="59" t="s">
        <v>69</v>
      </c>
      <c r="P532" s="59"/>
      <c r="Q532" s="59" t="s">
        <v>756</v>
      </c>
      <c r="R532" s="76" t="s">
        <v>71</v>
      </c>
      <c r="S532" s="59"/>
      <c r="T532" s="59"/>
      <c r="U532" s="77" t="s">
        <v>668</v>
      </c>
      <c r="V532" s="77" t="str">
        <f t="array" ref="V532">IFERROR(INDEX(DFD!$F$2:$F$1048791,MATCH($Q532,DFD!$B$2:$B$1048791,0)),"")</f>
        <v/>
      </c>
      <c r="W532" s="84" t="str">
        <f t="array" ref="W532">IFERROR(INDEX(DFD!$E$2:$E$1048791,MATCH($Q532,DFD!$B$2:$B$1048791,0)),"")</f>
        <v/>
      </c>
      <c r="X532" s="84" t="str">
        <f t="array" ref="X532">IFERROR(INDEX(DFD!$K$2:$K$1048791,MATCH($Q532,DFD!$B$2:$B$1048791,0)),"")</f>
        <v/>
      </c>
      <c r="Y532" s="84" t="str">
        <f t="array" ref="Y532">IFERROR(INDEX(DFD!$L$2:$L$1048790,MATCH($Q532,DFD!$B$2:$B$1048790,0)),"")</f>
        <v/>
      </c>
      <c r="Z532" s="84">
        <f t="shared" si="13"/>
        <v>45</v>
      </c>
      <c r="AA532" s="59"/>
      <c r="AB532" s="59" t="s">
        <v>78</v>
      </c>
      <c r="AC532" s="59"/>
      <c r="AD532" s="85">
        <v>46043.0</v>
      </c>
      <c r="AE532" s="86">
        <f t="shared" si="8"/>
        <v>1</v>
      </c>
    </row>
    <row r="533" ht="15.75" customHeight="1">
      <c r="A533" s="87" t="s">
        <v>1698</v>
      </c>
      <c r="B533" s="87" t="s">
        <v>355</v>
      </c>
      <c r="C533" s="88" t="s">
        <v>1697</v>
      </c>
      <c r="D533" s="88" t="s">
        <v>51</v>
      </c>
      <c r="E533" s="88">
        <v>10.0</v>
      </c>
      <c r="F533" s="89">
        <v>1200.0</v>
      </c>
      <c r="G533" s="90" t="s">
        <v>53</v>
      </c>
      <c r="H533" s="91">
        <v>46174.0</v>
      </c>
      <c r="I533" s="92" t="s">
        <v>17</v>
      </c>
      <c r="J533" s="92" t="s">
        <v>54</v>
      </c>
      <c r="K533" s="92" t="s">
        <v>66</v>
      </c>
      <c r="L533" s="92" t="s">
        <v>56</v>
      </c>
      <c r="M533" s="90" t="s">
        <v>68</v>
      </c>
      <c r="N533" s="92" t="s">
        <v>58</v>
      </c>
      <c r="O533" s="87" t="s">
        <v>69</v>
      </c>
      <c r="P533" s="87"/>
      <c r="Q533" s="87" t="s">
        <v>52</v>
      </c>
      <c r="R533" s="93" t="s">
        <v>71</v>
      </c>
      <c r="S533" s="87"/>
      <c r="T533" s="87"/>
      <c r="U533" s="94" t="str">
        <f t="array" ref="U533">IFERROR(INDEX(DFD!$D$2:$D$1048791,MATCH($Q533,DFD!$B$2:$B$1048791,0)),"")</f>
        <v/>
      </c>
      <c r="V533" s="94" t="str">
        <f t="array" ref="V533">IFERROR(INDEX(DFD!$F$2:$F$1048791,MATCH($Q533,DFD!$B$2:$B$1048791,0)),"")</f>
        <v/>
      </c>
      <c r="W533" s="97" t="str">
        <f t="array" ref="W533">IFERROR(INDEX(DFD!$E$2:$E$1048791,MATCH($Q533,DFD!$B$2:$B$1048791,0)),"")</f>
        <v/>
      </c>
      <c r="X533" s="97" t="str">
        <f t="array" ref="X533">IFERROR(INDEX(DFD!$K$2:$K$1048791,MATCH($Q533,DFD!$B$2:$B$1048791,0)),"")</f>
        <v/>
      </c>
      <c r="Y533" s="97" t="str">
        <f t="array" ref="Y533">IFERROR(INDEX(DFD!$L$2:$L$1048790,MATCH($Q533,DFD!$B$2:$B$1048790,0)),"")</f>
        <v/>
      </c>
      <c r="Z533" s="97">
        <f t="shared" si="13"/>
        <v>45</v>
      </c>
      <c r="AA533" s="87"/>
      <c r="AB533" s="87" t="s">
        <v>72</v>
      </c>
      <c r="AC533" s="87"/>
      <c r="AD533" s="99">
        <v>46043.0</v>
      </c>
      <c r="AE533" s="100">
        <f t="shared" si="8"/>
        <v>1</v>
      </c>
    </row>
    <row r="534" ht="15.75" customHeight="1">
      <c r="A534" s="59" t="s">
        <v>1699</v>
      </c>
      <c r="B534" s="59" t="s">
        <v>101</v>
      </c>
      <c r="C534" s="60" t="s">
        <v>1700</v>
      </c>
      <c r="D534" s="60" t="s">
        <v>51</v>
      </c>
      <c r="E534" s="60">
        <v>60.0</v>
      </c>
      <c r="F534" s="72">
        <v>8400.0</v>
      </c>
      <c r="G534" s="73" t="s">
        <v>53</v>
      </c>
      <c r="H534" s="74">
        <v>46204.0</v>
      </c>
      <c r="I534" s="67" t="s">
        <v>17</v>
      </c>
      <c r="J534" s="67" t="s">
        <v>54</v>
      </c>
      <c r="K534" s="67" t="s">
        <v>66</v>
      </c>
      <c r="L534" s="67" t="s">
        <v>56</v>
      </c>
      <c r="M534" s="73" t="s">
        <v>132</v>
      </c>
      <c r="N534" s="67" t="s">
        <v>58</v>
      </c>
      <c r="O534" s="67" t="s">
        <v>89</v>
      </c>
      <c r="P534" s="59"/>
      <c r="Q534" s="59" t="s">
        <v>756</v>
      </c>
      <c r="R534" s="76" t="s">
        <v>71</v>
      </c>
      <c r="S534" s="59"/>
      <c r="T534" s="59"/>
      <c r="U534" s="77" t="s">
        <v>668</v>
      </c>
      <c r="V534" s="77" t="str">
        <f t="array" ref="V534">IFERROR(INDEX(DFD!$F$2:$F$1048791,MATCH($Q534,DFD!$B$2:$B$1048791,0)),"")</f>
        <v/>
      </c>
      <c r="W534" s="84" t="str">
        <f t="array" ref="W534">IFERROR(INDEX(DFD!$E$2:$E$1048791,MATCH($Q534,DFD!$B$2:$B$1048791,0)),"")</f>
        <v/>
      </c>
      <c r="X534" s="84" t="str">
        <f t="array" ref="X534">IFERROR(INDEX(DFD!$K$2:$K$1048791,MATCH($Q534,DFD!$B$2:$B$1048791,0)),"")</f>
        <v/>
      </c>
      <c r="Y534" s="84" t="str">
        <f t="array" ref="Y534">IFERROR(INDEX(DFD!$L$2:$L$1048790,MATCH($Q534,DFD!$B$2:$B$1048790,0)),"")</f>
        <v/>
      </c>
      <c r="Z534" s="84">
        <f t="shared" si="13"/>
        <v>45</v>
      </c>
      <c r="AA534" s="59"/>
      <c r="AB534" s="59" t="s">
        <v>78</v>
      </c>
      <c r="AC534" s="59"/>
      <c r="AD534" s="85">
        <v>46043.0</v>
      </c>
      <c r="AE534" s="86">
        <f t="shared" si="8"/>
        <v>1</v>
      </c>
    </row>
    <row r="535" ht="15.75" customHeight="1">
      <c r="A535" s="87" t="s">
        <v>1701</v>
      </c>
      <c r="B535" s="87" t="s">
        <v>355</v>
      </c>
      <c r="C535" s="88" t="s">
        <v>1700</v>
      </c>
      <c r="D535" s="88" t="s">
        <v>51</v>
      </c>
      <c r="E535" s="88">
        <v>10.0</v>
      </c>
      <c r="F535" s="89">
        <v>1400.0</v>
      </c>
      <c r="G535" s="90" t="s">
        <v>53</v>
      </c>
      <c r="H535" s="91">
        <v>46174.0</v>
      </c>
      <c r="I535" s="92" t="s">
        <v>17</v>
      </c>
      <c r="J535" s="92" t="s">
        <v>54</v>
      </c>
      <c r="K535" s="92" t="s">
        <v>66</v>
      </c>
      <c r="L535" s="92" t="s">
        <v>56</v>
      </c>
      <c r="M535" s="90" t="s">
        <v>132</v>
      </c>
      <c r="N535" s="92" t="s">
        <v>58</v>
      </c>
      <c r="O535" s="87" t="s">
        <v>69</v>
      </c>
      <c r="P535" s="87"/>
      <c r="Q535" s="87" t="s">
        <v>52</v>
      </c>
      <c r="R535" s="93" t="s">
        <v>71</v>
      </c>
      <c r="S535" s="87"/>
      <c r="T535" s="87"/>
      <c r="U535" s="94" t="str">
        <f t="array" ref="U535">IFERROR(INDEX(DFD!$D$2:$D$1048791,MATCH($Q535,DFD!$B$2:$B$1048791,0)),"")</f>
        <v/>
      </c>
      <c r="V535" s="94" t="str">
        <f t="array" ref="V535">IFERROR(INDEX(DFD!$F$2:$F$1048791,MATCH($Q535,DFD!$B$2:$B$1048791,0)),"")</f>
        <v/>
      </c>
      <c r="W535" s="97" t="str">
        <f t="array" ref="W535">IFERROR(INDEX(DFD!$E$2:$E$1048791,MATCH($Q535,DFD!$B$2:$B$1048791,0)),"")</f>
        <v/>
      </c>
      <c r="X535" s="97" t="str">
        <f t="array" ref="X535">IFERROR(INDEX(DFD!$K$2:$K$1048791,MATCH($Q535,DFD!$B$2:$B$1048791,0)),"")</f>
        <v/>
      </c>
      <c r="Y535" s="97" t="str">
        <f t="array" ref="Y535">IFERROR(INDEX(DFD!$L$2:$L$1048790,MATCH($Q535,DFD!$B$2:$B$1048790,0)),"")</f>
        <v/>
      </c>
      <c r="Z535" s="97">
        <f t="shared" si="13"/>
        <v>45</v>
      </c>
      <c r="AA535" s="87"/>
      <c r="AB535" s="87" t="s">
        <v>72</v>
      </c>
      <c r="AC535" s="87"/>
      <c r="AD535" s="99">
        <v>46043.0</v>
      </c>
      <c r="AE535" s="100">
        <f t="shared" si="8"/>
        <v>1</v>
      </c>
    </row>
    <row r="536" ht="15.75" customHeight="1">
      <c r="A536" s="59" t="s">
        <v>1702</v>
      </c>
      <c r="B536" s="59" t="s">
        <v>101</v>
      </c>
      <c r="C536" s="60" t="s">
        <v>1703</v>
      </c>
      <c r="D536" s="60" t="s">
        <v>51</v>
      </c>
      <c r="E536" s="60">
        <v>20.0</v>
      </c>
      <c r="F536" s="72">
        <v>3200.0</v>
      </c>
      <c r="G536" s="73" t="s">
        <v>53</v>
      </c>
      <c r="H536" s="74">
        <v>46174.0</v>
      </c>
      <c r="I536" s="67" t="s">
        <v>17</v>
      </c>
      <c r="J536" s="67" t="s">
        <v>54</v>
      </c>
      <c r="K536" s="67" t="s">
        <v>66</v>
      </c>
      <c r="L536" s="67" t="s">
        <v>56</v>
      </c>
      <c r="M536" s="73" t="s">
        <v>132</v>
      </c>
      <c r="N536" s="67" t="s">
        <v>58</v>
      </c>
      <c r="O536" s="59" t="s">
        <v>69</v>
      </c>
      <c r="P536" s="59"/>
      <c r="Q536" s="59" t="s">
        <v>756</v>
      </c>
      <c r="R536" s="76" t="s">
        <v>71</v>
      </c>
      <c r="S536" s="59"/>
      <c r="T536" s="59"/>
      <c r="U536" s="77" t="s">
        <v>668</v>
      </c>
      <c r="V536" s="77" t="str">
        <f t="array" ref="V536">IFERROR(INDEX(DFD!$F$2:$F$1048791,MATCH($Q536,DFD!$B$2:$B$1048791,0)),"")</f>
        <v/>
      </c>
      <c r="W536" s="84" t="str">
        <f t="array" ref="W536">IFERROR(INDEX(DFD!$E$2:$E$1048791,MATCH($Q536,DFD!$B$2:$B$1048791,0)),"")</f>
        <v/>
      </c>
      <c r="X536" s="84" t="str">
        <f t="array" ref="X536">IFERROR(INDEX(DFD!$K$2:$K$1048791,MATCH($Q536,DFD!$B$2:$B$1048791,0)),"")</f>
        <v/>
      </c>
      <c r="Y536" s="84" t="str">
        <f t="array" ref="Y536">IFERROR(INDEX(DFD!$L$2:$L$1048790,MATCH($Q536,DFD!$B$2:$B$1048790,0)),"")</f>
        <v/>
      </c>
      <c r="Z536" s="84">
        <f t="shared" si="13"/>
        <v>45</v>
      </c>
      <c r="AA536" s="59"/>
      <c r="AB536" s="59" t="s">
        <v>78</v>
      </c>
      <c r="AC536" s="59"/>
      <c r="AD536" s="85">
        <v>46043.0</v>
      </c>
      <c r="AE536" s="86">
        <f t="shared" si="8"/>
        <v>1</v>
      </c>
    </row>
    <row r="537" ht="15.75" customHeight="1">
      <c r="A537" s="87" t="s">
        <v>1704</v>
      </c>
      <c r="B537" s="87" t="s">
        <v>355</v>
      </c>
      <c r="C537" s="88" t="s">
        <v>1703</v>
      </c>
      <c r="D537" s="88" t="s">
        <v>51</v>
      </c>
      <c r="E537" s="88">
        <v>10.0</v>
      </c>
      <c r="F537" s="89">
        <v>1600.0</v>
      </c>
      <c r="G537" s="90" t="s">
        <v>53</v>
      </c>
      <c r="H537" s="91">
        <v>46174.0</v>
      </c>
      <c r="I537" s="92" t="s">
        <v>17</v>
      </c>
      <c r="J537" s="92" t="s">
        <v>54</v>
      </c>
      <c r="K537" s="92" t="s">
        <v>66</v>
      </c>
      <c r="L537" s="92" t="s">
        <v>56</v>
      </c>
      <c r="M537" s="90" t="s">
        <v>68</v>
      </c>
      <c r="N537" s="92" t="s">
        <v>58</v>
      </c>
      <c r="O537" s="92" t="s">
        <v>89</v>
      </c>
      <c r="P537" s="87"/>
      <c r="Q537" s="87" t="s">
        <v>52</v>
      </c>
      <c r="R537" s="93" t="s">
        <v>71</v>
      </c>
      <c r="S537" s="87"/>
      <c r="T537" s="87"/>
      <c r="U537" s="94" t="str">
        <f t="array" ref="U537">IFERROR(INDEX(DFD!$D$2:$D$1048791,MATCH($Q537,DFD!$B$2:$B$1048791,0)),"")</f>
        <v/>
      </c>
      <c r="V537" s="94" t="str">
        <f t="array" ref="V537">IFERROR(INDEX(DFD!$F$2:$F$1048791,MATCH($Q537,DFD!$B$2:$B$1048791,0)),"")</f>
        <v/>
      </c>
      <c r="W537" s="97" t="str">
        <f t="array" ref="W537">IFERROR(INDEX(DFD!$E$2:$E$1048791,MATCH($Q537,DFD!$B$2:$B$1048791,0)),"")</f>
        <v/>
      </c>
      <c r="X537" s="97" t="str">
        <f t="array" ref="X537">IFERROR(INDEX(DFD!$K$2:$K$1048791,MATCH($Q537,DFD!$B$2:$B$1048791,0)),"")</f>
        <v/>
      </c>
      <c r="Y537" s="97" t="str">
        <f t="array" ref="Y537">IFERROR(INDEX(DFD!$L$2:$L$1048790,MATCH($Q537,DFD!$B$2:$B$1048790,0)),"")</f>
        <v/>
      </c>
      <c r="Z537" s="97">
        <f t="shared" si="13"/>
        <v>45</v>
      </c>
      <c r="AA537" s="87"/>
      <c r="AB537" s="87" t="s">
        <v>72</v>
      </c>
      <c r="AC537" s="87"/>
      <c r="AD537" s="99">
        <v>46043.0</v>
      </c>
      <c r="AE537" s="100">
        <f t="shared" si="8"/>
        <v>1</v>
      </c>
    </row>
    <row r="538" ht="15.75" customHeight="1">
      <c r="A538" s="59" t="s">
        <v>1705</v>
      </c>
      <c r="B538" s="59" t="s">
        <v>101</v>
      </c>
      <c r="C538" s="60" t="s">
        <v>1706</v>
      </c>
      <c r="D538" s="60" t="s">
        <v>51</v>
      </c>
      <c r="E538" s="60">
        <v>15.0</v>
      </c>
      <c r="F538" s="72">
        <v>150.0</v>
      </c>
      <c r="G538" s="73" t="s">
        <v>53</v>
      </c>
      <c r="H538" s="74">
        <v>46143.0</v>
      </c>
      <c r="I538" s="67" t="s">
        <v>17</v>
      </c>
      <c r="J538" s="67" t="s">
        <v>54</v>
      </c>
      <c r="K538" s="67" t="s">
        <v>66</v>
      </c>
      <c r="L538" s="67" t="s">
        <v>56</v>
      </c>
      <c r="M538" s="73" t="s">
        <v>132</v>
      </c>
      <c r="N538" s="67" t="s">
        <v>58</v>
      </c>
      <c r="O538" s="59" t="s">
        <v>69</v>
      </c>
      <c r="P538" s="59"/>
      <c r="Q538" s="59" t="s">
        <v>800</v>
      </c>
      <c r="R538" s="76" t="s">
        <v>287</v>
      </c>
      <c r="S538" s="59"/>
      <c r="T538" s="59"/>
      <c r="U538" s="77" t="str">
        <f t="array" ref="U538">IFERROR(INDEX(DFD!$D$2:$D$1048791,MATCH($Q538,DFD!$B$2:$B$1048791,0)),"")</f>
        <v/>
      </c>
      <c r="V538" s="77" t="str">
        <f t="array" ref="V538">IFERROR(INDEX(DFD!$F$2:$F$1048791,MATCH($Q538,DFD!$B$2:$B$1048791,0)),"")</f>
        <v/>
      </c>
      <c r="W538" s="84" t="str">
        <f t="array" ref="W538">IFERROR(INDEX(DFD!$E$2:$E$1048791,MATCH($Q538,DFD!$B$2:$B$1048791,0)),"")</f>
        <v/>
      </c>
      <c r="X538" s="84" t="str">
        <f t="array" ref="X538">IFERROR(INDEX(DFD!$K$2:$K$1048791,MATCH($Q538,DFD!$B$2:$B$1048791,0)),"")</f>
        <v/>
      </c>
      <c r="Y538" s="84" t="str">
        <f t="array" ref="Y538">IFERROR(INDEX(DFD!$L$2:$L$1048790,MATCH($Q538,DFD!$B$2:$B$1048790,0)),"")</f>
        <v/>
      </c>
      <c r="Z538" s="84">
        <f t="shared" si="13"/>
        <v>45</v>
      </c>
      <c r="AA538" s="59"/>
      <c r="AB538" s="59" t="s">
        <v>78</v>
      </c>
      <c r="AC538" s="59"/>
      <c r="AD538" s="85">
        <v>46043.0</v>
      </c>
      <c r="AE538" s="86">
        <f t="shared" si="8"/>
        <v>1</v>
      </c>
    </row>
    <row r="539" ht="15.75" customHeight="1">
      <c r="A539" s="92" t="s">
        <v>1707</v>
      </c>
      <c r="B539" s="87" t="s">
        <v>184</v>
      </c>
      <c r="C539" s="88" t="s">
        <v>1708</v>
      </c>
      <c r="D539" s="88" t="s">
        <v>51</v>
      </c>
      <c r="E539" s="88">
        <v>1000.0</v>
      </c>
      <c r="F539" s="89">
        <v>2800.0</v>
      </c>
      <c r="G539" s="90" t="s">
        <v>53</v>
      </c>
      <c r="H539" s="91">
        <v>46174.0</v>
      </c>
      <c r="I539" s="92" t="s">
        <v>17</v>
      </c>
      <c r="J539" s="92" t="s">
        <v>54</v>
      </c>
      <c r="K539" s="92" t="s">
        <v>66</v>
      </c>
      <c r="L539" s="92" t="s">
        <v>67</v>
      </c>
      <c r="M539" s="90" t="s">
        <v>167</v>
      </c>
      <c r="N539" s="92" t="s">
        <v>20</v>
      </c>
      <c r="O539" s="87" t="s">
        <v>69</v>
      </c>
      <c r="P539" s="87"/>
      <c r="Q539" s="87" t="s">
        <v>1399</v>
      </c>
      <c r="R539" s="93" t="s">
        <v>187</v>
      </c>
      <c r="S539" s="87"/>
      <c r="T539" s="87"/>
      <c r="U539" s="94" t="str">
        <f t="array" ref="U539">IFERROR(INDEX(DFD!$D$2:$D$1048791,MATCH($Q539,DFD!$B$2:$B$1048791,0)),"")</f>
        <v/>
      </c>
      <c r="V539" s="94" t="str">
        <f t="array" ref="V539">IFERROR(INDEX(DFD!$F$2:$F$1048791,MATCH($Q539,DFD!$B$2:$B$1048791,0)),"")</f>
        <v/>
      </c>
      <c r="W539" s="97" t="str">
        <f t="array" ref="W539">IFERROR(INDEX(DFD!$E$2:$E$1048791,MATCH($Q539,DFD!$B$2:$B$1048791,0)),"")</f>
        <v/>
      </c>
      <c r="X539" s="97" t="str">
        <f t="array" ref="X539">IFERROR(INDEX(DFD!$K$2:$K$1048791,MATCH($Q539,DFD!$B$2:$B$1048791,0)),"")</f>
        <v/>
      </c>
      <c r="Y539" s="97" t="str">
        <f t="array" ref="Y539">IFERROR(INDEX(DFD!$L$2:$L$1048790,MATCH($Q539,DFD!$B$2:$B$1048790,0)),"")</f>
        <v/>
      </c>
      <c r="Z539" s="97">
        <f t="shared" si="13"/>
        <v>45</v>
      </c>
      <c r="AA539" s="87"/>
      <c r="AB539" s="87" t="s">
        <v>78</v>
      </c>
      <c r="AC539" s="87"/>
      <c r="AD539" s="99">
        <v>46043.0</v>
      </c>
      <c r="AE539" s="100">
        <f t="shared" si="8"/>
        <v>1</v>
      </c>
    </row>
    <row r="540" ht="15.75" customHeight="1">
      <c r="A540" s="59" t="s">
        <v>1709</v>
      </c>
      <c r="B540" s="59" t="s">
        <v>87</v>
      </c>
      <c r="C540" s="60" t="s">
        <v>1710</v>
      </c>
      <c r="D540" s="60" t="s">
        <v>51</v>
      </c>
      <c r="E540" s="60">
        <v>1.0</v>
      </c>
      <c r="F540" s="72">
        <v>212.0</v>
      </c>
      <c r="G540" s="73" t="s">
        <v>53</v>
      </c>
      <c r="H540" s="74">
        <v>46143.0</v>
      </c>
      <c r="I540" s="67" t="s">
        <v>17</v>
      </c>
      <c r="J540" s="67" t="s">
        <v>54</v>
      </c>
      <c r="K540" s="67" t="s">
        <v>66</v>
      </c>
      <c r="L540" s="67" t="s">
        <v>67</v>
      </c>
      <c r="M540" s="73" t="s">
        <v>167</v>
      </c>
      <c r="N540" s="67" t="s">
        <v>5</v>
      </c>
      <c r="O540" s="67" t="s">
        <v>89</v>
      </c>
      <c r="P540" s="59"/>
      <c r="Q540" s="59" t="s">
        <v>800</v>
      </c>
      <c r="R540" s="76" t="s">
        <v>287</v>
      </c>
      <c r="S540" s="59"/>
      <c r="T540" s="59"/>
      <c r="U540" s="77" t="str">
        <f t="array" ref="U540">IFERROR(INDEX(DFD!$D$2:$D$1048791,MATCH($Q540,DFD!$B$2:$B$1048791,0)),"")</f>
        <v/>
      </c>
      <c r="V540" s="77" t="str">
        <f t="array" ref="V540">IFERROR(INDEX(DFD!$F$2:$F$1048791,MATCH($Q540,DFD!$B$2:$B$1048791,0)),"")</f>
        <v/>
      </c>
      <c r="W540" s="84" t="str">
        <f t="array" ref="W540">IFERROR(INDEX(DFD!$E$2:$E$1048791,MATCH($Q540,DFD!$B$2:$B$1048791,0)),"")</f>
        <v/>
      </c>
      <c r="X540" s="84" t="str">
        <f t="array" ref="X540">IFERROR(INDEX(DFD!$K$2:$K$1048791,MATCH($Q540,DFD!$B$2:$B$1048791,0)),"")</f>
        <v/>
      </c>
      <c r="Y540" s="84" t="str">
        <f t="array" ref="Y540">IFERROR(INDEX(DFD!$L$2:$L$1048790,MATCH($Q540,DFD!$B$2:$B$1048790,0)),"")</f>
        <v/>
      </c>
      <c r="Z540" s="84">
        <f t="shared" si="13"/>
        <v>45</v>
      </c>
      <c r="AA540" s="59"/>
      <c r="AB540" s="59" t="s">
        <v>78</v>
      </c>
      <c r="AC540" s="59"/>
      <c r="AD540" s="85">
        <v>46043.0</v>
      </c>
      <c r="AE540" s="86">
        <f t="shared" si="8"/>
        <v>1</v>
      </c>
    </row>
    <row r="541" ht="15.75" customHeight="1">
      <c r="A541" s="87" t="s">
        <v>1711</v>
      </c>
      <c r="B541" s="87" t="s">
        <v>101</v>
      </c>
      <c r="C541" s="88" t="s">
        <v>1712</v>
      </c>
      <c r="D541" s="88" t="s">
        <v>51</v>
      </c>
      <c r="E541" s="88">
        <v>1.0</v>
      </c>
      <c r="F541" s="89">
        <v>336.0</v>
      </c>
      <c r="G541" s="90" t="s">
        <v>53</v>
      </c>
      <c r="H541" s="91">
        <v>46174.0</v>
      </c>
      <c r="I541" s="92" t="s">
        <v>17</v>
      </c>
      <c r="J541" s="92" t="s">
        <v>54</v>
      </c>
      <c r="K541" s="92" t="s">
        <v>66</v>
      </c>
      <c r="L541" s="92" t="s">
        <v>56</v>
      </c>
      <c r="M541" s="90" t="s">
        <v>104</v>
      </c>
      <c r="N541" s="92" t="s">
        <v>58</v>
      </c>
      <c r="O541" s="87" t="s">
        <v>69</v>
      </c>
      <c r="P541" s="87"/>
      <c r="Q541" s="87" t="s">
        <v>800</v>
      </c>
      <c r="R541" s="93" t="s">
        <v>287</v>
      </c>
      <c r="S541" s="87"/>
      <c r="T541" s="87"/>
      <c r="U541" s="94" t="str">
        <f t="array" ref="U541">IFERROR(INDEX(DFD!$D$2:$D$1048791,MATCH($Q541,DFD!$B$2:$B$1048791,0)),"")</f>
        <v/>
      </c>
      <c r="V541" s="94" t="str">
        <f t="array" ref="V541">IFERROR(INDEX(DFD!$F$2:$F$1048791,MATCH($Q541,DFD!$B$2:$B$1048791,0)),"")</f>
        <v/>
      </c>
      <c r="W541" s="97" t="str">
        <f t="array" ref="W541">IFERROR(INDEX(DFD!$E$2:$E$1048791,MATCH($Q541,DFD!$B$2:$B$1048791,0)),"")</f>
        <v/>
      </c>
      <c r="X541" s="97" t="str">
        <f t="array" ref="X541">IFERROR(INDEX(DFD!$K$2:$K$1048791,MATCH($Q541,DFD!$B$2:$B$1048791,0)),"")</f>
        <v/>
      </c>
      <c r="Y541" s="97" t="str">
        <f t="array" ref="Y541">IFERROR(INDEX(DFD!$L$2:$L$1048790,MATCH($Q541,DFD!$B$2:$B$1048790,0)),"")</f>
        <v/>
      </c>
      <c r="Z541" s="97">
        <f t="shared" si="13"/>
        <v>45</v>
      </c>
      <c r="AA541" s="87"/>
      <c r="AB541" s="87" t="s">
        <v>78</v>
      </c>
      <c r="AC541" s="87"/>
      <c r="AD541" s="99">
        <v>46043.0</v>
      </c>
      <c r="AE541" s="100">
        <f t="shared" si="8"/>
        <v>1</v>
      </c>
    </row>
    <row r="542" ht="15.75" customHeight="1">
      <c r="A542" s="59" t="s">
        <v>1713</v>
      </c>
      <c r="B542" s="59" t="s">
        <v>91</v>
      </c>
      <c r="C542" s="60" t="s">
        <v>1714</v>
      </c>
      <c r="D542" s="60" t="s">
        <v>51</v>
      </c>
      <c r="E542" s="60">
        <v>12.0</v>
      </c>
      <c r="F542" s="72">
        <v>7200.0</v>
      </c>
      <c r="G542" s="73" t="s">
        <v>53</v>
      </c>
      <c r="H542" s="74">
        <v>46204.0</v>
      </c>
      <c r="I542" s="67" t="s">
        <v>17</v>
      </c>
      <c r="J542" s="67" t="s">
        <v>54</v>
      </c>
      <c r="K542" s="67" t="s">
        <v>66</v>
      </c>
      <c r="L542" s="67" t="s">
        <v>67</v>
      </c>
      <c r="M542" s="73" t="s">
        <v>68</v>
      </c>
      <c r="N542" s="67" t="s">
        <v>5</v>
      </c>
      <c r="O542" s="59" t="s">
        <v>69</v>
      </c>
      <c r="P542" s="59"/>
      <c r="Q542" s="59" t="s">
        <v>128</v>
      </c>
      <c r="R542" s="76" t="s">
        <v>71</v>
      </c>
      <c r="S542" s="59"/>
      <c r="T542" s="59"/>
      <c r="U542" s="77" t="str">
        <f t="array" ref="U542">IFERROR(INDEX(DFD!$D$2:$D$1048791,MATCH($Q542,DFD!$B$2:$B$1048791,0)),"")</f>
        <v/>
      </c>
      <c r="V542" s="77" t="str">
        <f t="array" ref="V542">IFERROR(INDEX(DFD!$F$2:$F$1048791,MATCH($Q542,DFD!$B$2:$B$1048791,0)),"")</f>
        <v/>
      </c>
      <c r="W542" s="84" t="str">
        <f t="array" ref="W542">IFERROR(INDEX(DFD!$E$2:$E$1048791,MATCH($Q542,DFD!$B$2:$B$1048791,0)),"")</f>
        <v/>
      </c>
      <c r="X542" s="84" t="str">
        <f t="array" ref="X542">IFERROR(INDEX(DFD!$K$2:$K$1048791,MATCH($Q542,DFD!$B$2:$B$1048791,0)),"")</f>
        <v/>
      </c>
      <c r="Y542" s="84" t="str">
        <f t="array" ref="Y542">IFERROR(INDEX(DFD!$L$2:$L$1048790,MATCH($Q542,DFD!$B$2:$B$1048790,0)),"")</f>
        <v/>
      </c>
      <c r="Z542" s="84">
        <f t="shared" si="13"/>
        <v>45</v>
      </c>
      <c r="AA542" s="59"/>
      <c r="AB542" s="59" t="s">
        <v>78</v>
      </c>
      <c r="AC542" s="59"/>
      <c r="AD542" s="85">
        <v>46043.0</v>
      </c>
      <c r="AE542" s="86">
        <f t="shared" si="8"/>
        <v>1</v>
      </c>
    </row>
    <row r="543" ht="15.75" customHeight="1">
      <c r="A543" s="87" t="s">
        <v>1715</v>
      </c>
      <c r="B543" s="87" t="s">
        <v>602</v>
      </c>
      <c r="C543" s="88" t="s">
        <v>1714</v>
      </c>
      <c r="D543" s="88" t="s">
        <v>51</v>
      </c>
      <c r="E543" s="88">
        <v>5.0</v>
      </c>
      <c r="F543" s="89">
        <v>3000.0</v>
      </c>
      <c r="G543" s="90" t="s">
        <v>53</v>
      </c>
      <c r="H543" s="91">
        <v>46174.0</v>
      </c>
      <c r="I543" s="92" t="s">
        <v>17</v>
      </c>
      <c r="J543" s="92" t="s">
        <v>54</v>
      </c>
      <c r="K543" s="92" t="s">
        <v>66</v>
      </c>
      <c r="L543" s="92" t="s">
        <v>67</v>
      </c>
      <c r="M543" s="90" t="s">
        <v>117</v>
      </c>
      <c r="N543" s="92" t="s">
        <v>5</v>
      </c>
      <c r="O543" s="92" t="s">
        <v>89</v>
      </c>
      <c r="P543" s="87"/>
      <c r="Q543" s="87" t="s">
        <v>128</v>
      </c>
      <c r="R543" s="93" t="s">
        <v>71</v>
      </c>
      <c r="S543" s="87"/>
      <c r="T543" s="87"/>
      <c r="U543" s="94" t="str">
        <f t="array" ref="U543">IFERROR(INDEX(DFD!$D$2:$D$1048791,MATCH($Q543,DFD!$B$2:$B$1048791,0)),"")</f>
        <v/>
      </c>
      <c r="V543" s="94" t="str">
        <f t="array" ref="V543">IFERROR(INDEX(DFD!$F$2:$F$1048791,MATCH($Q543,DFD!$B$2:$B$1048791,0)),"")</f>
        <v/>
      </c>
      <c r="W543" s="97" t="str">
        <f t="array" ref="W543">IFERROR(INDEX(DFD!$E$2:$E$1048791,MATCH($Q543,DFD!$B$2:$B$1048791,0)),"")</f>
        <v/>
      </c>
      <c r="X543" s="97" t="str">
        <f t="array" ref="X543">IFERROR(INDEX(DFD!$K$2:$K$1048791,MATCH($Q543,DFD!$B$2:$B$1048791,0)),"")</f>
        <v/>
      </c>
      <c r="Y543" s="97" t="str">
        <f t="array" ref="Y543">IFERROR(INDEX(DFD!$L$2:$L$1048790,MATCH($Q543,DFD!$B$2:$B$1048790,0)),"")</f>
        <v/>
      </c>
      <c r="Z543" s="97">
        <f t="shared" si="13"/>
        <v>45</v>
      </c>
      <c r="AA543" s="87"/>
      <c r="AB543" s="87" t="s">
        <v>78</v>
      </c>
      <c r="AC543" s="87"/>
      <c r="AD543" s="99">
        <v>46043.0</v>
      </c>
      <c r="AE543" s="100">
        <f t="shared" si="8"/>
        <v>1</v>
      </c>
    </row>
    <row r="544" ht="15.75" customHeight="1">
      <c r="A544" s="59" t="s">
        <v>1716</v>
      </c>
      <c r="B544" s="59" t="s">
        <v>400</v>
      </c>
      <c r="C544" s="60" t="s">
        <v>525</v>
      </c>
      <c r="D544" s="60" t="s">
        <v>51</v>
      </c>
      <c r="E544" s="60">
        <v>100.0</v>
      </c>
      <c r="F544" s="72">
        <v>25000.0</v>
      </c>
      <c r="G544" s="73" t="s">
        <v>53</v>
      </c>
      <c r="H544" s="74">
        <v>46235.0</v>
      </c>
      <c r="I544" s="67" t="s">
        <v>17</v>
      </c>
      <c r="J544" s="67" t="s">
        <v>54</v>
      </c>
      <c r="K544" s="67" t="s">
        <v>66</v>
      </c>
      <c r="L544" s="67" t="s">
        <v>56</v>
      </c>
      <c r="M544" s="73" t="s">
        <v>68</v>
      </c>
      <c r="N544" s="67" t="s">
        <v>58</v>
      </c>
      <c r="O544" s="59" t="s">
        <v>69</v>
      </c>
      <c r="P544" s="59"/>
      <c r="Q544" s="59" t="s">
        <v>752</v>
      </c>
      <c r="R544" s="76" t="s">
        <v>323</v>
      </c>
      <c r="S544" s="59"/>
      <c r="T544" s="59"/>
      <c r="U544" s="77" t="str">
        <f t="array" ref="U544">IFERROR(INDEX(DFD!$D$2:$D$1048791,MATCH($Q544,DFD!$B$2:$B$1048791,0)),"")</f>
        <v/>
      </c>
      <c r="V544" s="77" t="str">
        <f t="array" ref="V544">IFERROR(INDEX(DFD!$F$2:$F$1048791,MATCH($Q544,DFD!$B$2:$B$1048791,0)),"")</f>
        <v/>
      </c>
      <c r="W544" s="84" t="str">
        <f t="array" ref="W544">IFERROR(INDEX(DFD!$E$2:$E$1048791,MATCH($Q544,DFD!$B$2:$B$1048791,0)),"")</f>
        <v/>
      </c>
      <c r="X544" s="84" t="str">
        <f t="array" ref="X544">IFERROR(INDEX(DFD!$K$2:$K$1048791,MATCH($Q544,DFD!$B$2:$B$1048791,0)),"")</f>
        <v/>
      </c>
      <c r="Y544" s="84" t="str">
        <f t="array" ref="Y544">IFERROR(INDEX(DFD!$L$2:$L$1048790,MATCH($Q544,DFD!$B$2:$B$1048790,0)),"")</f>
        <v/>
      </c>
      <c r="Z544" s="84">
        <f t="shared" si="13"/>
        <v>45</v>
      </c>
      <c r="AA544" s="59"/>
      <c r="AB544" s="59" t="s">
        <v>78</v>
      </c>
      <c r="AC544" s="59"/>
      <c r="AD544" s="85">
        <v>46043.0</v>
      </c>
      <c r="AE544" s="86">
        <f t="shared" si="8"/>
        <v>1</v>
      </c>
    </row>
    <row r="545" ht="15.75" customHeight="1">
      <c r="A545" s="87" t="s">
        <v>1717</v>
      </c>
      <c r="B545" s="87" t="s">
        <v>277</v>
      </c>
      <c r="C545" s="88" t="s">
        <v>1718</v>
      </c>
      <c r="D545" s="88" t="s">
        <v>51</v>
      </c>
      <c r="E545" s="88">
        <v>25.0</v>
      </c>
      <c r="F545" s="89">
        <v>500.0</v>
      </c>
      <c r="G545" s="90" t="s">
        <v>53</v>
      </c>
      <c r="H545" s="91">
        <v>46174.0</v>
      </c>
      <c r="I545" s="92" t="s">
        <v>17</v>
      </c>
      <c r="J545" s="92" t="s">
        <v>54</v>
      </c>
      <c r="K545" s="92" t="s">
        <v>66</v>
      </c>
      <c r="L545" s="92" t="s">
        <v>67</v>
      </c>
      <c r="M545" s="90" t="s">
        <v>112</v>
      </c>
      <c r="N545" s="92" t="s">
        <v>5</v>
      </c>
      <c r="O545" s="87" t="s">
        <v>69</v>
      </c>
      <c r="P545" s="87"/>
      <c r="Q545" s="87" t="s">
        <v>1719</v>
      </c>
      <c r="R545" s="93" t="s">
        <v>373</v>
      </c>
      <c r="S545" s="87"/>
      <c r="T545" s="87"/>
      <c r="U545" s="94" t="str">
        <f t="array" ref="U545">IFERROR(INDEX(DFD!$D$2:$D$1048791,MATCH($Q545,DFD!$B$2:$B$1048791,0)),"")</f>
        <v/>
      </c>
      <c r="V545" s="94" t="str">
        <f t="array" ref="V545">IFERROR(INDEX(DFD!$F$2:$F$1048791,MATCH($Q545,DFD!$B$2:$B$1048791,0)),"")</f>
        <v/>
      </c>
      <c r="W545" s="97" t="str">
        <f t="array" ref="W545">IFERROR(INDEX(DFD!$E$2:$E$1048791,MATCH($Q545,DFD!$B$2:$B$1048791,0)),"")</f>
        <v/>
      </c>
      <c r="X545" s="97" t="str">
        <f t="array" ref="X545">IFERROR(INDEX(DFD!$K$2:$K$1048791,MATCH($Q545,DFD!$B$2:$B$1048791,0)),"")</f>
        <v/>
      </c>
      <c r="Y545" s="97" t="str">
        <f t="array" ref="Y545">IFERROR(INDEX(DFD!$L$2:$L$1048790,MATCH($Q545,DFD!$B$2:$B$1048790,0)),"")</f>
        <v/>
      </c>
      <c r="Z545" s="97">
        <f t="shared" si="13"/>
        <v>45</v>
      </c>
      <c r="AA545" s="87"/>
      <c r="AB545" s="87" t="s">
        <v>78</v>
      </c>
      <c r="AC545" s="87"/>
      <c r="AD545" s="99">
        <v>46043.0</v>
      </c>
      <c r="AE545" s="100">
        <f t="shared" si="8"/>
        <v>1</v>
      </c>
    </row>
    <row r="546" ht="15.75" customHeight="1">
      <c r="A546" s="59" t="s">
        <v>1720</v>
      </c>
      <c r="B546" s="59" t="s">
        <v>464</v>
      </c>
      <c r="C546" s="81" t="s">
        <v>1721</v>
      </c>
      <c r="D546" s="60" t="s">
        <v>51</v>
      </c>
      <c r="E546" s="60">
        <v>1.0</v>
      </c>
      <c r="F546" s="72">
        <v>125000.0</v>
      </c>
      <c r="G546" s="73" t="s">
        <v>437</v>
      </c>
      <c r="H546" s="74">
        <v>46266.0</v>
      </c>
      <c r="I546" s="67" t="s">
        <v>17</v>
      </c>
      <c r="J546" s="67" t="s">
        <v>54</v>
      </c>
      <c r="K546" s="67" t="s">
        <v>55</v>
      </c>
      <c r="L546" s="67" t="s">
        <v>67</v>
      </c>
      <c r="M546" s="73" t="s">
        <v>466</v>
      </c>
      <c r="N546" s="67" t="s">
        <v>5</v>
      </c>
      <c r="O546" s="67" t="s">
        <v>89</v>
      </c>
      <c r="P546" s="59"/>
      <c r="Q546" s="59" t="s">
        <v>467</v>
      </c>
      <c r="R546" s="76" t="s">
        <v>1722</v>
      </c>
      <c r="S546" s="59"/>
      <c r="T546" s="59"/>
      <c r="U546" s="77" t="str">
        <f t="array" ref="U546">IFERROR(INDEX(DFD!$D$2:$D$1048791,MATCH($Q546,DFD!$B$2:$B$1048791,0)),"")</f>
        <v/>
      </c>
      <c r="V546" s="77" t="str">
        <f t="array" ref="V546">IFERROR(INDEX(DFD!$F$2:$F$1048791,MATCH($Q546,DFD!$B$2:$B$1048791,0)),"")</f>
        <v/>
      </c>
      <c r="W546" s="84" t="str">
        <f t="array" ref="W546">IFERROR(INDEX(DFD!$E$2:$E$1048791,MATCH($Q546,DFD!$B$2:$B$1048791,0)),"")</f>
        <v/>
      </c>
      <c r="X546" s="84" t="str">
        <f t="array" ref="X546">IFERROR(INDEX(DFD!$K$2:$K$1048791,MATCH($Q546,DFD!$B$2:$B$1048791,0)),"")</f>
        <v/>
      </c>
      <c r="Y546" s="84" t="str">
        <f t="array" ref="Y546">IFERROR(INDEX(DFD!$L$2:$L$1048790,MATCH($Q546,DFD!$B$2:$B$1048790,0)),"")</f>
        <v/>
      </c>
      <c r="Z546" s="84">
        <f t="shared" si="13"/>
        <v>45</v>
      </c>
      <c r="AA546" s="59"/>
      <c r="AB546" s="59" t="s">
        <v>288</v>
      </c>
      <c r="AC546" s="59"/>
      <c r="AD546" s="85">
        <v>46043.0</v>
      </c>
      <c r="AE546" s="86">
        <f t="shared" si="8"/>
        <v>1</v>
      </c>
    </row>
    <row r="547" ht="15.75" customHeight="1">
      <c r="A547" s="87" t="s">
        <v>1723</v>
      </c>
      <c r="B547" s="87" t="s">
        <v>464</v>
      </c>
      <c r="C547" s="116" t="s">
        <v>1724</v>
      </c>
      <c r="D547" s="88" t="s">
        <v>51</v>
      </c>
      <c r="E547" s="88">
        <v>1.0</v>
      </c>
      <c r="F547" s="89">
        <v>7000.0</v>
      </c>
      <c r="G547" s="90" t="s">
        <v>437</v>
      </c>
      <c r="H547" s="91">
        <v>46204.0</v>
      </c>
      <c r="I547" s="92" t="s">
        <v>17</v>
      </c>
      <c r="J547" s="92" t="s">
        <v>54</v>
      </c>
      <c r="K547" s="92" t="s">
        <v>55</v>
      </c>
      <c r="L547" s="92" t="s">
        <v>67</v>
      </c>
      <c r="M547" s="90" t="s">
        <v>1725</v>
      </c>
      <c r="N547" s="92" t="s">
        <v>5</v>
      </c>
      <c r="O547" s="87" t="s">
        <v>69</v>
      </c>
      <c r="P547" s="87"/>
      <c r="Q547" s="87" t="s">
        <v>467</v>
      </c>
      <c r="R547" s="93" t="s">
        <v>1722</v>
      </c>
      <c r="S547" s="87"/>
      <c r="T547" s="87"/>
      <c r="U547" s="94" t="str">
        <f t="array" ref="U547">IFERROR(INDEX(DFD!$D$2:$D$1048791,MATCH($Q547,DFD!$B$2:$B$1048791,0)),"")</f>
        <v/>
      </c>
      <c r="V547" s="94" t="str">
        <f t="array" ref="V547">IFERROR(INDEX(DFD!$F$2:$F$1048791,MATCH($Q547,DFD!$B$2:$B$1048791,0)),"")</f>
        <v/>
      </c>
      <c r="W547" s="97" t="str">
        <f t="array" ref="W547">IFERROR(INDEX(DFD!$E$2:$E$1048791,MATCH($Q547,DFD!$B$2:$B$1048791,0)),"")</f>
        <v/>
      </c>
      <c r="X547" s="97" t="str">
        <f t="array" ref="X547">IFERROR(INDEX(DFD!$K$2:$K$1048791,MATCH($Q547,DFD!$B$2:$B$1048791,0)),"")</f>
        <v/>
      </c>
      <c r="Y547" s="97" t="str">
        <f t="array" ref="Y547">IFERROR(INDEX(DFD!$L$2:$L$1048790,MATCH($Q547,DFD!$B$2:$B$1048790,0)),"")</f>
        <v/>
      </c>
      <c r="Z547" s="97">
        <f t="shared" si="13"/>
        <v>45</v>
      </c>
      <c r="AA547" s="87"/>
      <c r="AB547" s="87" t="s">
        <v>288</v>
      </c>
      <c r="AC547" s="87"/>
      <c r="AD547" s="99">
        <v>46043.0</v>
      </c>
      <c r="AE547" s="100">
        <f t="shared" si="8"/>
        <v>1</v>
      </c>
    </row>
    <row r="548" ht="15.75" customHeight="1">
      <c r="A548" s="59" t="s">
        <v>1726</v>
      </c>
      <c r="B548" s="59" t="s">
        <v>464</v>
      </c>
      <c r="C548" s="81" t="s">
        <v>1727</v>
      </c>
      <c r="D548" s="60" t="s">
        <v>51</v>
      </c>
      <c r="E548" s="60">
        <v>1.0</v>
      </c>
      <c r="F548" s="72">
        <v>12000.0</v>
      </c>
      <c r="G548" s="73" t="s">
        <v>437</v>
      </c>
      <c r="H548" s="74">
        <v>46235.0</v>
      </c>
      <c r="I548" s="67" t="s">
        <v>17</v>
      </c>
      <c r="J548" s="67" t="s">
        <v>54</v>
      </c>
      <c r="K548" s="67" t="s">
        <v>55</v>
      </c>
      <c r="L548" s="67" t="s">
        <v>67</v>
      </c>
      <c r="M548" s="73" t="s">
        <v>1728</v>
      </c>
      <c r="N548" s="67" t="s">
        <v>5</v>
      </c>
      <c r="O548" s="59" t="s">
        <v>69</v>
      </c>
      <c r="P548" s="59"/>
      <c r="Q548" s="59" t="s">
        <v>467</v>
      </c>
      <c r="R548" s="76" t="s">
        <v>1722</v>
      </c>
      <c r="S548" s="59"/>
      <c r="T548" s="59"/>
      <c r="U548" s="77" t="str">
        <f t="array" ref="U548">IFERROR(INDEX(DFD!$D$2:$D$1048791,MATCH($Q548,DFD!$B$2:$B$1048791,0)),"")</f>
        <v/>
      </c>
      <c r="V548" s="77" t="str">
        <f t="array" ref="V548">IFERROR(INDEX(DFD!$F$2:$F$1048791,MATCH($Q548,DFD!$B$2:$B$1048791,0)),"")</f>
        <v/>
      </c>
      <c r="W548" s="84" t="str">
        <f t="array" ref="W548">IFERROR(INDEX(DFD!$E$2:$E$1048791,MATCH($Q548,DFD!$B$2:$B$1048791,0)),"")</f>
        <v/>
      </c>
      <c r="X548" s="84" t="str">
        <f t="array" ref="X548">IFERROR(INDEX(DFD!$K$2:$K$1048791,MATCH($Q548,DFD!$B$2:$B$1048791,0)),"")</f>
        <v/>
      </c>
      <c r="Y548" s="84" t="str">
        <f t="array" ref="Y548">IFERROR(INDEX(DFD!$L$2:$L$1048790,MATCH($Q548,DFD!$B$2:$B$1048790,0)),"")</f>
        <v/>
      </c>
      <c r="Z548" s="84">
        <f t="shared" si="13"/>
        <v>45</v>
      </c>
      <c r="AA548" s="59"/>
      <c r="AB548" s="59" t="s">
        <v>288</v>
      </c>
      <c r="AC548" s="59"/>
      <c r="AD548" s="85">
        <v>46043.0</v>
      </c>
      <c r="AE548" s="86">
        <f t="shared" si="8"/>
        <v>1</v>
      </c>
    </row>
    <row r="549" ht="15.75" customHeight="1">
      <c r="A549" s="87" t="s">
        <v>1729</v>
      </c>
      <c r="B549" s="87" t="s">
        <v>101</v>
      </c>
      <c r="C549" s="88" t="s">
        <v>1730</v>
      </c>
      <c r="D549" s="88" t="s">
        <v>51</v>
      </c>
      <c r="E549" s="88">
        <v>25.0</v>
      </c>
      <c r="F549" s="89">
        <v>22500.0</v>
      </c>
      <c r="G549" s="90" t="s">
        <v>53</v>
      </c>
      <c r="H549" s="91">
        <v>46235.0</v>
      </c>
      <c r="I549" s="92" t="s">
        <v>17</v>
      </c>
      <c r="J549" s="92" t="s">
        <v>54</v>
      </c>
      <c r="K549" s="92" t="s">
        <v>66</v>
      </c>
      <c r="L549" s="92" t="s">
        <v>56</v>
      </c>
      <c r="M549" s="90" t="s">
        <v>112</v>
      </c>
      <c r="N549" s="92" t="s">
        <v>58</v>
      </c>
      <c r="O549" s="92" t="s">
        <v>89</v>
      </c>
      <c r="P549" s="87"/>
      <c r="Q549" s="87" t="s">
        <v>756</v>
      </c>
      <c r="R549" s="93" t="s">
        <v>71</v>
      </c>
      <c r="S549" s="87"/>
      <c r="T549" s="87"/>
      <c r="U549" s="94" t="s">
        <v>668</v>
      </c>
      <c r="V549" s="94" t="str">
        <f t="array" ref="V549">IFERROR(INDEX(DFD!$F$2:$F$1048791,MATCH($Q549,DFD!$B$2:$B$1048791,0)),"")</f>
        <v/>
      </c>
      <c r="W549" s="97" t="str">
        <f t="array" ref="W549">IFERROR(INDEX(DFD!$E$2:$E$1048791,MATCH($Q549,DFD!$B$2:$B$1048791,0)),"")</f>
        <v/>
      </c>
      <c r="X549" s="97" t="str">
        <f t="array" ref="X549">IFERROR(INDEX(DFD!$K$2:$K$1048791,MATCH($Q549,DFD!$B$2:$B$1048791,0)),"")</f>
        <v/>
      </c>
      <c r="Y549" s="97" t="str">
        <f t="array" ref="Y549">IFERROR(INDEX(DFD!$L$2:$L$1048790,MATCH($Q549,DFD!$B$2:$B$1048790,0)),"")</f>
        <v/>
      </c>
      <c r="Z549" s="97">
        <f t="shared" si="13"/>
        <v>45</v>
      </c>
      <c r="AA549" s="87"/>
      <c r="AB549" s="87" t="s">
        <v>78</v>
      </c>
      <c r="AC549" s="87"/>
      <c r="AD549" s="99">
        <v>46043.0</v>
      </c>
      <c r="AE549" s="100">
        <f t="shared" si="8"/>
        <v>1</v>
      </c>
    </row>
    <row r="550" ht="15.75" customHeight="1">
      <c r="A550" s="59" t="s">
        <v>1731</v>
      </c>
      <c r="B550" s="59" t="s">
        <v>80</v>
      </c>
      <c r="C550" s="60" t="s">
        <v>1732</v>
      </c>
      <c r="D550" s="60" t="s">
        <v>51</v>
      </c>
      <c r="E550" s="60">
        <v>3.0</v>
      </c>
      <c r="F550" s="72">
        <v>2700.0</v>
      </c>
      <c r="G550" s="73" t="s">
        <v>53</v>
      </c>
      <c r="H550" s="74">
        <v>46174.0</v>
      </c>
      <c r="I550" s="67" t="s">
        <v>17</v>
      </c>
      <c r="J550" s="67" t="s">
        <v>54</v>
      </c>
      <c r="K550" s="67" t="s">
        <v>66</v>
      </c>
      <c r="L550" s="67" t="s">
        <v>67</v>
      </c>
      <c r="M550" s="73" t="s">
        <v>132</v>
      </c>
      <c r="N550" s="67" t="s">
        <v>58</v>
      </c>
      <c r="O550" s="59" t="s">
        <v>69</v>
      </c>
      <c r="P550" s="59"/>
      <c r="Q550" s="59" t="s">
        <v>756</v>
      </c>
      <c r="R550" s="76" t="s">
        <v>71</v>
      </c>
      <c r="S550" s="59"/>
      <c r="T550" s="59"/>
      <c r="U550" s="77" t="s">
        <v>668</v>
      </c>
      <c r="V550" s="77" t="str">
        <f t="array" ref="V550">IFERROR(INDEX(DFD!$F$2:$F$1048791,MATCH($Q550,DFD!$B$2:$B$1048791,0)),"")</f>
        <v/>
      </c>
      <c r="W550" s="84" t="str">
        <f t="array" ref="W550">IFERROR(INDEX(DFD!$E$2:$E$1048791,MATCH($Q550,DFD!$B$2:$B$1048791,0)),"")</f>
        <v/>
      </c>
      <c r="X550" s="84" t="str">
        <f t="array" ref="X550">IFERROR(INDEX(DFD!$K$2:$K$1048791,MATCH($Q550,DFD!$B$2:$B$1048791,0)),"")</f>
        <v/>
      </c>
      <c r="Y550" s="84" t="str">
        <f t="array" ref="Y550">IFERROR(INDEX(DFD!$L$2:$L$1048790,MATCH($Q550,DFD!$B$2:$B$1048790,0)),"")</f>
        <v/>
      </c>
      <c r="Z550" s="84">
        <f t="shared" si="13"/>
        <v>45</v>
      </c>
      <c r="AA550" s="59"/>
      <c r="AB550" s="59" t="s">
        <v>78</v>
      </c>
      <c r="AC550" s="59"/>
      <c r="AD550" s="85">
        <v>46043.0</v>
      </c>
      <c r="AE550" s="86">
        <f t="shared" si="8"/>
        <v>1</v>
      </c>
    </row>
    <row r="551" ht="15.75" customHeight="1">
      <c r="A551" s="87" t="s">
        <v>1733</v>
      </c>
      <c r="B551" s="87" t="s">
        <v>98</v>
      </c>
      <c r="C551" s="88" t="s">
        <v>1732</v>
      </c>
      <c r="D551" s="88" t="s">
        <v>51</v>
      </c>
      <c r="E551" s="88">
        <v>3.0</v>
      </c>
      <c r="F551" s="89">
        <v>2700.0</v>
      </c>
      <c r="G551" s="90" t="s">
        <v>53</v>
      </c>
      <c r="H551" s="91">
        <v>46174.0</v>
      </c>
      <c r="I551" s="92" t="s">
        <v>17</v>
      </c>
      <c r="J551" s="92" t="s">
        <v>54</v>
      </c>
      <c r="K551" s="92" t="s">
        <v>66</v>
      </c>
      <c r="L551" s="92" t="s">
        <v>67</v>
      </c>
      <c r="M551" s="90" t="s">
        <v>132</v>
      </c>
      <c r="N551" s="92" t="s">
        <v>58</v>
      </c>
      <c r="O551" s="87" t="s">
        <v>69</v>
      </c>
      <c r="P551" s="87"/>
      <c r="Q551" s="87" t="s">
        <v>756</v>
      </c>
      <c r="R551" s="93" t="s">
        <v>71</v>
      </c>
      <c r="S551" s="87"/>
      <c r="T551" s="87"/>
      <c r="U551" s="94" t="s">
        <v>668</v>
      </c>
      <c r="V551" s="94" t="str">
        <f t="array" ref="V551">IFERROR(INDEX(DFD!$F$2:$F$1048791,MATCH($Q551,DFD!$B$2:$B$1048791,0)),"")</f>
        <v/>
      </c>
      <c r="W551" s="97" t="str">
        <f t="array" ref="W551">IFERROR(INDEX(DFD!$E$2:$E$1048791,MATCH($Q551,DFD!$B$2:$B$1048791,0)),"")</f>
        <v/>
      </c>
      <c r="X551" s="97" t="str">
        <f t="array" ref="X551">IFERROR(INDEX(DFD!$K$2:$K$1048791,MATCH($Q551,DFD!$B$2:$B$1048791,0)),"")</f>
        <v/>
      </c>
      <c r="Y551" s="97" t="str">
        <f t="array" ref="Y551">IFERROR(INDEX(DFD!$L$2:$L$1048790,MATCH($Q551,DFD!$B$2:$B$1048790,0)),"")</f>
        <v/>
      </c>
      <c r="Z551" s="97">
        <f t="shared" si="13"/>
        <v>45</v>
      </c>
      <c r="AA551" s="87"/>
      <c r="AB551" s="87" t="s">
        <v>78</v>
      </c>
      <c r="AC551" s="87"/>
      <c r="AD551" s="99">
        <v>46043.0</v>
      </c>
      <c r="AE551" s="100">
        <f t="shared" si="8"/>
        <v>1</v>
      </c>
    </row>
    <row r="552" ht="15.75" customHeight="1">
      <c r="A552" s="59" t="s">
        <v>1734</v>
      </c>
      <c r="B552" s="59" t="s">
        <v>101</v>
      </c>
      <c r="C552" s="60" t="s">
        <v>1735</v>
      </c>
      <c r="D552" s="60" t="s">
        <v>51</v>
      </c>
      <c r="E552" s="60">
        <v>10.0</v>
      </c>
      <c r="F552" s="72">
        <v>5000.0</v>
      </c>
      <c r="G552" s="73" t="s">
        <v>53</v>
      </c>
      <c r="H552" s="74">
        <v>46204.0</v>
      </c>
      <c r="I552" s="67" t="s">
        <v>17</v>
      </c>
      <c r="J552" s="67" t="s">
        <v>54</v>
      </c>
      <c r="K552" s="67" t="s">
        <v>66</v>
      </c>
      <c r="L552" s="67" t="s">
        <v>56</v>
      </c>
      <c r="M552" s="73" t="s">
        <v>132</v>
      </c>
      <c r="N552" s="67" t="s">
        <v>58</v>
      </c>
      <c r="O552" s="67" t="s">
        <v>89</v>
      </c>
      <c r="P552" s="59"/>
      <c r="Q552" s="59" t="s">
        <v>124</v>
      </c>
      <c r="R552" s="76" t="s">
        <v>71</v>
      </c>
      <c r="S552" s="59"/>
      <c r="T552" s="59"/>
      <c r="U552" s="77" t="str">
        <f t="array" ref="U552">IFERROR(INDEX(DFD!$D$2:$D$1048791,MATCH($Q552,DFD!$B$2:$B$1048791,0)),"")</f>
        <v/>
      </c>
      <c r="V552" s="77" t="str">
        <f t="array" ref="V552">IFERROR(INDEX(DFD!$F$2:$F$1048791,MATCH($Q552,DFD!$B$2:$B$1048791,0)),"")</f>
        <v/>
      </c>
      <c r="W552" s="84" t="str">
        <f t="array" ref="W552">IFERROR(INDEX(DFD!$E$2:$E$1048791,MATCH($Q552,DFD!$B$2:$B$1048791,0)),"")</f>
        <v/>
      </c>
      <c r="X552" s="84" t="str">
        <f t="array" ref="X552">IFERROR(INDEX(DFD!$K$2:$K$1048791,MATCH($Q552,DFD!$B$2:$B$1048791,0)),"")</f>
        <v/>
      </c>
      <c r="Y552" s="84" t="str">
        <f t="array" ref="Y552">IFERROR(INDEX(DFD!$L$2:$L$1048790,MATCH($Q552,DFD!$B$2:$B$1048790,0)),"")</f>
        <v/>
      </c>
      <c r="Z552" s="84">
        <f t="shared" si="13"/>
        <v>45</v>
      </c>
      <c r="AA552" s="59"/>
      <c r="AB552" s="59" t="s">
        <v>78</v>
      </c>
      <c r="AC552" s="59"/>
      <c r="AD552" s="85">
        <v>46043.0</v>
      </c>
      <c r="AE552" s="86">
        <f t="shared" si="8"/>
        <v>1</v>
      </c>
    </row>
    <row r="553" ht="15.75" customHeight="1">
      <c r="A553" s="87" t="s">
        <v>1736</v>
      </c>
      <c r="B553" s="87" t="s">
        <v>52</v>
      </c>
      <c r="C553" s="88" t="s">
        <v>1737</v>
      </c>
      <c r="D553" s="88" t="s">
        <v>51</v>
      </c>
      <c r="E553" s="88">
        <v>1.0</v>
      </c>
      <c r="F553" s="89">
        <v>1257000.0</v>
      </c>
      <c r="G553" s="90" t="s">
        <v>53</v>
      </c>
      <c r="H553" s="91">
        <v>46266.0</v>
      </c>
      <c r="I553" s="92" t="s">
        <v>18</v>
      </c>
      <c r="J553" s="92" t="s">
        <v>54</v>
      </c>
      <c r="K553" s="92" t="s">
        <v>83</v>
      </c>
      <c r="L553" s="92" t="s">
        <v>56</v>
      </c>
      <c r="M553" s="90" t="s">
        <v>132</v>
      </c>
      <c r="N553" s="92" t="s">
        <v>58</v>
      </c>
      <c r="O553" s="87" t="s">
        <v>69</v>
      </c>
      <c r="P553" s="87"/>
      <c r="Q553" s="87" t="s">
        <v>52</v>
      </c>
      <c r="R553" s="93" t="s">
        <v>1738</v>
      </c>
      <c r="S553" s="87"/>
      <c r="T553" s="87"/>
      <c r="U553" s="94" t="str">
        <f t="array" ref="U553">IFERROR(INDEX(DFD!$D$2:$D$1048791,MATCH($Q553,DFD!$B$2:$B$1048791,0)),"")</f>
        <v/>
      </c>
      <c r="V553" s="94" t="str">
        <f t="array" ref="V553">IFERROR(INDEX(DFD!$F$2:$F$1048791,MATCH($Q553,DFD!$B$2:$B$1048791,0)),"")</f>
        <v/>
      </c>
      <c r="W553" s="97" t="str">
        <f t="array" ref="W553">IFERROR(INDEX(DFD!$E$2:$E$1048791,MATCH($Q553,DFD!$B$2:$B$1048791,0)),"")</f>
        <v/>
      </c>
      <c r="X553" s="97" t="str">
        <f t="array" ref="X553">IFERROR(INDEX(DFD!$K$2:$K$1048791,MATCH($Q553,DFD!$B$2:$B$1048791,0)),"")</f>
        <v/>
      </c>
      <c r="Y553" s="97" t="str">
        <f t="array" ref="Y553">IFERROR(INDEX(DFD!$L$2:$L$1048790,MATCH($Q553,DFD!$B$2:$B$1048790,0)),"")</f>
        <v/>
      </c>
      <c r="Z553" s="97">
        <f t="shared" si="13"/>
        <v>45</v>
      </c>
      <c r="AA553" s="87"/>
      <c r="AB553" s="87" t="s">
        <v>72</v>
      </c>
      <c r="AC553" s="87"/>
      <c r="AD553" s="99">
        <v>46043.0</v>
      </c>
      <c r="AE553" s="100">
        <f t="shared" si="8"/>
        <v>1</v>
      </c>
    </row>
    <row r="554" ht="15.75" customHeight="1">
      <c r="A554" s="59" t="s">
        <v>1739</v>
      </c>
      <c r="B554" s="59" t="s">
        <v>101</v>
      </c>
      <c r="C554" s="60" t="s">
        <v>1740</v>
      </c>
      <c r="D554" s="60" t="s">
        <v>51</v>
      </c>
      <c r="E554" s="60">
        <v>3.0</v>
      </c>
      <c r="F554" s="72">
        <v>1440.0</v>
      </c>
      <c r="G554" s="73" t="s">
        <v>53</v>
      </c>
      <c r="H554" s="74">
        <v>46174.0</v>
      </c>
      <c r="I554" s="67" t="s">
        <v>17</v>
      </c>
      <c r="J554" s="67" t="s">
        <v>54</v>
      </c>
      <c r="K554" s="67" t="s">
        <v>66</v>
      </c>
      <c r="L554" s="67" t="s">
        <v>56</v>
      </c>
      <c r="M554" s="73" t="s">
        <v>104</v>
      </c>
      <c r="N554" s="67" t="s">
        <v>58</v>
      </c>
      <c r="O554" s="59" t="s">
        <v>69</v>
      </c>
      <c r="P554" s="59"/>
      <c r="Q554" s="59" t="s">
        <v>1511</v>
      </c>
      <c r="R554" s="76" t="s">
        <v>71</v>
      </c>
      <c r="S554" s="59"/>
      <c r="T554" s="59"/>
      <c r="U554" s="77" t="str">
        <f t="array" ref="U554">IFERROR(INDEX(DFD!$D$2:$D$1048791,MATCH($Q554,DFD!$B$2:$B$1048791,0)),"")</f>
        <v/>
      </c>
      <c r="V554" s="77" t="str">
        <f t="array" ref="V554">IFERROR(INDEX(DFD!$F$2:$F$1048791,MATCH($Q554,DFD!$B$2:$B$1048791,0)),"")</f>
        <v/>
      </c>
      <c r="W554" s="84" t="str">
        <f t="array" ref="W554">IFERROR(INDEX(DFD!$E$2:$E$1048791,MATCH($Q554,DFD!$B$2:$B$1048791,0)),"")</f>
        <v/>
      </c>
      <c r="X554" s="84" t="str">
        <f t="array" ref="X554">IFERROR(INDEX(DFD!$K$2:$K$1048791,MATCH($Q554,DFD!$B$2:$B$1048791,0)),"")</f>
        <v/>
      </c>
      <c r="Y554" s="84" t="str">
        <f t="array" ref="Y554">IFERROR(INDEX(DFD!$L$2:$L$1048790,MATCH($Q554,DFD!$B$2:$B$1048790,0)),"")</f>
        <v/>
      </c>
      <c r="Z554" s="84">
        <f t="shared" si="13"/>
        <v>45</v>
      </c>
      <c r="AA554" s="59"/>
      <c r="AB554" s="59" t="s">
        <v>78</v>
      </c>
      <c r="AC554" s="59"/>
      <c r="AD554" s="85">
        <v>46043.0</v>
      </c>
      <c r="AE554" s="86">
        <f t="shared" si="8"/>
        <v>1</v>
      </c>
    </row>
    <row r="555" ht="15.75" customHeight="1">
      <c r="A555" s="87" t="s">
        <v>1741</v>
      </c>
      <c r="B555" s="87" t="s">
        <v>101</v>
      </c>
      <c r="C555" s="88" t="s">
        <v>1742</v>
      </c>
      <c r="D555" s="88" t="s">
        <v>51</v>
      </c>
      <c r="E555" s="88">
        <v>4.0</v>
      </c>
      <c r="F555" s="89">
        <v>720.0</v>
      </c>
      <c r="G555" s="90" t="s">
        <v>53</v>
      </c>
      <c r="H555" s="91">
        <v>46174.0</v>
      </c>
      <c r="I555" s="92" t="s">
        <v>17</v>
      </c>
      <c r="J555" s="92" t="s">
        <v>54</v>
      </c>
      <c r="K555" s="92" t="s">
        <v>66</v>
      </c>
      <c r="L555" s="92" t="s">
        <v>56</v>
      </c>
      <c r="M555" s="90" t="s">
        <v>132</v>
      </c>
      <c r="N555" s="92" t="s">
        <v>58</v>
      </c>
      <c r="O555" s="92" t="s">
        <v>89</v>
      </c>
      <c r="P555" s="87"/>
      <c r="Q555" s="87" t="s">
        <v>1511</v>
      </c>
      <c r="R555" s="93" t="s">
        <v>71</v>
      </c>
      <c r="S555" s="87"/>
      <c r="T555" s="87"/>
      <c r="U555" s="94" t="str">
        <f t="array" ref="U555">IFERROR(INDEX(DFD!$D$2:$D$1048791,MATCH($Q555,DFD!$B$2:$B$1048791,0)),"")</f>
        <v/>
      </c>
      <c r="V555" s="94" t="str">
        <f t="array" ref="V555">IFERROR(INDEX(DFD!$F$2:$F$1048791,MATCH($Q555,DFD!$B$2:$B$1048791,0)),"")</f>
        <v/>
      </c>
      <c r="W555" s="97" t="str">
        <f t="array" ref="W555">IFERROR(INDEX(DFD!$E$2:$E$1048791,MATCH($Q555,DFD!$B$2:$B$1048791,0)),"")</f>
        <v/>
      </c>
      <c r="X555" s="97" t="str">
        <f t="array" ref="X555">IFERROR(INDEX(DFD!$K$2:$K$1048791,MATCH($Q555,DFD!$B$2:$B$1048791,0)),"")</f>
        <v/>
      </c>
      <c r="Y555" s="97" t="str">
        <f t="array" ref="Y555">IFERROR(INDEX(DFD!$L$2:$L$1048790,MATCH($Q555,DFD!$B$2:$B$1048790,0)),"")</f>
        <v/>
      </c>
      <c r="Z555" s="97">
        <f t="shared" si="13"/>
        <v>45</v>
      </c>
      <c r="AA555" s="87"/>
      <c r="AB555" s="87" t="s">
        <v>78</v>
      </c>
      <c r="AC555" s="87"/>
      <c r="AD555" s="99">
        <v>46043.0</v>
      </c>
      <c r="AE555" s="100">
        <f t="shared" si="8"/>
        <v>1</v>
      </c>
    </row>
    <row r="556" ht="15.75" customHeight="1">
      <c r="A556" s="67" t="s">
        <v>1743</v>
      </c>
      <c r="B556" s="59" t="s">
        <v>184</v>
      </c>
      <c r="C556" s="60" t="s">
        <v>1744</v>
      </c>
      <c r="D556" s="60" t="s">
        <v>51</v>
      </c>
      <c r="E556" s="60">
        <v>20.0</v>
      </c>
      <c r="F556" s="72">
        <v>20000.0</v>
      </c>
      <c r="G556" s="73" t="s">
        <v>53</v>
      </c>
      <c r="H556" s="74">
        <v>46266.0</v>
      </c>
      <c r="I556" s="67" t="s">
        <v>17</v>
      </c>
      <c r="J556" s="67" t="s">
        <v>54</v>
      </c>
      <c r="K556" s="67" t="s">
        <v>66</v>
      </c>
      <c r="L556" s="67" t="s">
        <v>67</v>
      </c>
      <c r="M556" s="73" t="s">
        <v>68</v>
      </c>
      <c r="N556" s="67" t="s">
        <v>20</v>
      </c>
      <c r="O556" s="59" t="s">
        <v>69</v>
      </c>
      <c r="P556" s="59"/>
      <c r="Q556" s="59" t="s">
        <v>681</v>
      </c>
      <c r="R556" s="76" t="s">
        <v>71</v>
      </c>
      <c r="S556" s="59"/>
      <c r="T556" s="59"/>
      <c r="U556" s="77" t="str">
        <f t="array" ref="U556">IFERROR(INDEX(DFD!$D$2:$D$1048791,MATCH($Q556,DFD!$B$2:$B$1048791,0)),"")</f>
        <v/>
      </c>
      <c r="V556" s="77" t="s">
        <v>280</v>
      </c>
      <c r="W556" s="84" t="str">
        <f t="array" ref="W556">IFERROR(INDEX(DFD!$E$2:$E$1048791,MATCH($Q556,DFD!$B$2:$B$1048791,0)),"")</f>
        <v/>
      </c>
      <c r="X556" s="84" t="str">
        <f t="array" ref="X556">IFERROR(INDEX(DFD!$K$2:$K$1048791,MATCH($Q556,DFD!$B$2:$B$1048791,0)),"")</f>
        <v/>
      </c>
      <c r="Y556" s="84" t="str">
        <f t="array" ref="Y556">IFERROR(INDEX(DFD!$L$2:$L$1048790,MATCH($Q556,DFD!$B$2:$B$1048790,0)),"")</f>
        <v/>
      </c>
      <c r="Z556" s="84">
        <f t="shared" si="13"/>
        <v>45</v>
      </c>
      <c r="AA556" s="150" t="s">
        <v>683</v>
      </c>
      <c r="AB556" s="59" t="s">
        <v>78</v>
      </c>
      <c r="AC556" s="59"/>
      <c r="AD556" s="85">
        <v>46043.0</v>
      </c>
      <c r="AE556" s="86">
        <f t="shared" si="8"/>
        <v>1</v>
      </c>
    </row>
    <row r="557" ht="15.75" customHeight="1">
      <c r="A557" s="87" t="s">
        <v>1745</v>
      </c>
      <c r="B557" s="87" t="s">
        <v>101</v>
      </c>
      <c r="C557" s="88" t="s">
        <v>1746</v>
      </c>
      <c r="D557" s="88" t="s">
        <v>51</v>
      </c>
      <c r="E557" s="88">
        <v>10.0</v>
      </c>
      <c r="F557" s="89">
        <v>720.0</v>
      </c>
      <c r="G557" s="90" t="s">
        <v>53</v>
      </c>
      <c r="H557" s="91">
        <v>46174.0</v>
      </c>
      <c r="I557" s="92" t="s">
        <v>17</v>
      </c>
      <c r="J557" s="92" t="s">
        <v>54</v>
      </c>
      <c r="K557" s="92" t="s">
        <v>66</v>
      </c>
      <c r="L557" s="92" t="s">
        <v>56</v>
      </c>
      <c r="M557" s="90" t="s">
        <v>132</v>
      </c>
      <c r="N557" s="92" t="s">
        <v>58</v>
      </c>
      <c r="O557" s="87" t="s">
        <v>69</v>
      </c>
      <c r="P557" s="87"/>
      <c r="Q557" s="87" t="s">
        <v>576</v>
      </c>
      <c r="R557" s="93" t="s">
        <v>577</v>
      </c>
      <c r="S557" s="87"/>
      <c r="T557" s="87"/>
      <c r="U557" s="94" t="str">
        <f t="array" ref="U557">IFERROR(INDEX(DFD!$D$2:$D$1048791,MATCH($Q557,DFD!$B$2:$B$1048791,0)),"")</f>
        <v/>
      </c>
      <c r="V557" s="94" t="s">
        <v>280</v>
      </c>
      <c r="W557" s="97" t="str">
        <f t="array" ref="W557">IFERROR(INDEX(DFD!$E$2:$E$1048791,MATCH($Q557,DFD!$B$2:$B$1048791,0)),"")</f>
        <v/>
      </c>
      <c r="X557" s="97" t="str">
        <f t="array" ref="X557">IFERROR(INDEX(DFD!$K$2:$K$1048791,MATCH($Q557,DFD!$B$2:$B$1048791,0)),"")</f>
        <v/>
      </c>
      <c r="Y557" s="97" t="str">
        <f t="array" ref="Y557">IFERROR(INDEX(DFD!$L$2:$L$1048790,MATCH($Q557,DFD!$B$2:$B$1048790,0)),"")</f>
        <v/>
      </c>
      <c r="Z557" s="97">
        <f t="shared" si="13"/>
        <v>45</v>
      </c>
      <c r="AA557" s="87"/>
      <c r="AB557" s="87" t="s">
        <v>78</v>
      </c>
      <c r="AC557" s="87"/>
      <c r="AD557" s="99">
        <v>46043.0</v>
      </c>
      <c r="AE557" s="100">
        <f t="shared" si="8"/>
        <v>1</v>
      </c>
    </row>
    <row r="558" ht="15.75" customHeight="1">
      <c r="A558" s="59" t="s">
        <v>1747</v>
      </c>
      <c r="B558" s="59" t="s">
        <v>87</v>
      </c>
      <c r="C558" s="60" t="s">
        <v>1748</v>
      </c>
      <c r="D558" s="60" t="s">
        <v>51</v>
      </c>
      <c r="E558" s="60">
        <v>10.0</v>
      </c>
      <c r="F558" s="72">
        <v>720.0</v>
      </c>
      <c r="G558" s="73" t="s">
        <v>53</v>
      </c>
      <c r="H558" s="74">
        <v>46174.0</v>
      </c>
      <c r="I558" s="67" t="s">
        <v>17</v>
      </c>
      <c r="J558" s="67" t="s">
        <v>54</v>
      </c>
      <c r="K558" s="67" t="s">
        <v>66</v>
      </c>
      <c r="L558" s="67" t="s">
        <v>67</v>
      </c>
      <c r="M558" s="73" t="s">
        <v>104</v>
      </c>
      <c r="N558" s="67" t="s">
        <v>5</v>
      </c>
      <c r="O558" s="67" t="s">
        <v>89</v>
      </c>
      <c r="P558" s="59"/>
      <c r="Q558" s="59" t="s">
        <v>576</v>
      </c>
      <c r="R558" s="76" t="s">
        <v>577</v>
      </c>
      <c r="S558" s="59"/>
      <c r="T558" s="59"/>
      <c r="U558" s="77" t="str">
        <f t="array" ref="U558">IFERROR(INDEX(DFD!$D$2:$D$1048791,MATCH($Q558,DFD!$B$2:$B$1048791,0)),"")</f>
        <v/>
      </c>
      <c r="V558" s="77" t="s">
        <v>280</v>
      </c>
      <c r="W558" s="84" t="str">
        <f t="array" ref="W558">IFERROR(INDEX(DFD!$E$2:$E$1048791,MATCH($Q558,DFD!$B$2:$B$1048791,0)),"")</f>
        <v/>
      </c>
      <c r="X558" s="84" t="str">
        <f t="array" ref="X558">IFERROR(INDEX(DFD!$K$2:$K$1048791,MATCH($Q558,DFD!$B$2:$B$1048791,0)),"")</f>
        <v/>
      </c>
      <c r="Y558" s="84" t="str">
        <f t="array" ref="Y558">IFERROR(INDEX(DFD!$L$2:$L$1048790,MATCH($Q558,DFD!$B$2:$B$1048790,0)),"")</f>
        <v/>
      </c>
      <c r="Z558" s="84">
        <f t="shared" si="13"/>
        <v>45</v>
      </c>
      <c r="AA558" s="59"/>
      <c r="AB558" s="59" t="s">
        <v>78</v>
      </c>
      <c r="AC558" s="59"/>
      <c r="AD558" s="85">
        <v>46043.0</v>
      </c>
      <c r="AE558" s="86">
        <f t="shared" si="8"/>
        <v>1</v>
      </c>
    </row>
    <row r="559" ht="15.75" customHeight="1">
      <c r="A559" s="87" t="s">
        <v>1749</v>
      </c>
      <c r="B559" s="87" t="s">
        <v>95</v>
      </c>
      <c r="C559" s="88" t="s">
        <v>1748</v>
      </c>
      <c r="D559" s="88" t="s">
        <v>51</v>
      </c>
      <c r="E559" s="88">
        <v>4.0</v>
      </c>
      <c r="F559" s="89">
        <v>288.0</v>
      </c>
      <c r="G559" s="90" t="s">
        <v>53</v>
      </c>
      <c r="H559" s="91">
        <v>46143.0</v>
      </c>
      <c r="I559" s="92" t="s">
        <v>17</v>
      </c>
      <c r="J559" s="92" t="s">
        <v>54</v>
      </c>
      <c r="K559" s="92" t="s">
        <v>66</v>
      </c>
      <c r="L559" s="92" t="s">
        <v>67</v>
      </c>
      <c r="M559" s="90" t="s">
        <v>104</v>
      </c>
      <c r="N559" s="92" t="s">
        <v>5</v>
      </c>
      <c r="O559" s="87" t="s">
        <v>69</v>
      </c>
      <c r="P559" s="87"/>
      <c r="Q559" s="87" t="s">
        <v>576</v>
      </c>
      <c r="R559" s="93" t="s">
        <v>577</v>
      </c>
      <c r="S559" s="87"/>
      <c r="T559" s="87"/>
      <c r="U559" s="94" t="str">
        <f t="array" ref="U559">IFERROR(INDEX(DFD!$D$2:$D$1048791,MATCH($Q559,DFD!$B$2:$B$1048791,0)),"")</f>
        <v/>
      </c>
      <c r="V559" s="94" t="s">
        <v>280</v>
      </c>
      <c r="W559" s="97" t="str">
        <f t="array" ref="W559">IFERROR(INDEX(DFD!$E$2:$E$1048791,MATCH($Q559,DFD!$B$2:$B$1048791,0)),"")</f>
        <v/>
      </c>
      <c r="X559" s="97" t="str">
        <f t="array" ref="X559">IFERROR(INDEX(DFD!$K$2:$K$1048791,MATCH($Q559,DFD!$B$2:$B$1048791,0)),"")</f>
        <v/>
      </c>
      <c r="Y559" s="97" t="str">
        <f t="array" ref="Y559">IFERROR(INDEX(DFD!$L$2:$L$1048790,MATCH($Q559,DFD!$B$2:$B$1048790,0)),"")</f>
        <v/>
      </c>
      <c r="Z559" s="97">
        <f t="shared" si="13"/>
        <v>45</v>
      </c>
      <c r="AA559" s="87"/>
      <c r="AB559" s="87" t="s">
        <v>78</v>
      </c>
      <c r="AC559" s="87"/>
      <c r="AD559" s="99">
        <v>46043.0</v>
      </c>
      <c r="AE559" s="100">
        <f t="shared" si="8"/>
        <v>1</v>
      </c>
    </row>
    <row r="560" ht="15.75" customHeight="1">
      <c r="A560" s="59" t="s">
        <v>1750</v>
      </c>
      <c r="B560" s="59" t="s">
        <v>107</v>
      </c>
      <c r="C560" s="60" t="s">
        <v>1748</v>
      </c>
      <c r="D560" s="60" t="s">
        <v>51</v>
      </c>
      <c r="E560" s="60">
        <v>2.0</v>
      </c>
      <c r="F560" s="72">
        <v>144.0</v>
      </c>
      <c r="G560" s="73" t="s">
        <v>53</v>
      </c>
      <c r="H560" s="74">
        <v>46143.0</v>
      </c>
      <c r="I560" s="67" t="s">
        <v>17</v>
      </c>
      <c r="J560" s="67" t="s">
        <v>54</v>
      </c>
      <c r="K560" s="67" t="s">
        <v>66</v>
      </c>
      <c r="L560" s="67" t="s">
        <v>67</v>
      </c>
      <c r="M560" s="73" t="s">
        <v>104</v>
      </c>
      <c r="N560" s="67" t="s">
        <v>5</v>
      </c>
      <c r="O560" s="59" t="s">
        <v>69</v>
      </c>
      <c r="P560" s="59"/>
      <c r="Q560" s="59" t="s">
        <v>576</v>
      </c>
      <c r="R560" s="76" t="s">
        <v>577</v>
      </c>
      <c r="S560" s="59"/>
      <c r="T560" s="59"/>
      <c r="U560" s="77" t="str">
        <f t="array" ref="U560">IFERROR(INDEX(DFD!$D$2:$D$1048791,MATCH($Q560,DFD!$B$2:$B$1048791,0)),"")</f>
        <v/>
      </c>
      <c r="V560" s="77" t="s">
        <v>280</v>
      </c>
      <c r="W560" s="84" t="str">
        <f t="array" ref="W560">IFERROR(INDEX(DFD!$E$2:$E$1048791,MATCH($Q560,DFD!$B$2:$B$1048791,0)),"")</f>
        <v/>
      </c>
      <c r="X560" s="84" t="str">
        <f t="array" ref="X560">IFERROR(INDEX(DFD!$K$2:$K$1048791,MATCH($Q560,DFD!$B$2:$B$1048791,0)),"")</f>
        <v/>
      </c>
      <c r="Y560" s="84" t="str">
        <f t="array" ref="Y560">IFERROR(INDEX(DFD!$L$2:$L$1048790,MATCH($Q560,DFD!$B$2:$B$1048790,0)),"")</f>
        <v/>
      </c>
      <c r="Z560" s="84">
        <f t="shared" si="13"/>
        <v>45</v>
      </c>
      <c r="AA560" s="59"/>
      <c r="AB560" s="59" t="s">
        <v>78</v>
      </c>
      <c r="AC560" s="59"/>
      <c r="AD560" s="85">
        <v>46043.0</v>
      </c>
      <c r="AE560" s="86">
        <f t="shared" si="8"/>
        <v>1</v>
      </c>
    </row>
    <row r="561" ht="15.75" customHeight="1">
      <c r="A561" s="87" t="s">
        <v>1751</v>
      </c>
      <c r="B561" s="71" t="s">
        <v>148</v>
      </c>
      <c r="C561" s="88" t="s">
        <v>1752</v>
      </c>
      <c r="D561" s="88" t="s">
        <v>51</v>
      </c>
      <c r="E561" s="88">
        <v>2.0</v>
      </c>
      <c r="F561" s="89">
        <v>500.0</v>
      </c>
      <c r="G561" s="90" t="s">
        <v>53</v>
      </c>
      <c r="H561" s="91">
        <v>46174.0</v>
      </c>
      <c r="I561" s="92" t="s">
        <v>17</v>
      </c>
      <c r="J561" s="92" t="s">
        <v>54</v>
      </c>
      <c r="K561" s="92" t="s">
        <v>66</v>
      </c>
      <c r="L561" s="92" t="s">
        <v>67</v>
      </c>
      <c r="M561" s="90" t="s">
        <v>104</v>
      </c>
      <c r="N561" s="92" t="s">
        <v>5</v>
      </c>
      <c r="O561" s="92" t="s">
        <v>89</v>
      </c>
      <c r="P561" s="87"/>
      <c r="Q561" s="87" t="s">
        <v>576</v>
      </c>
      <c r="R561" s="93" t="s">
        <v>577</v>
      </c>
      <c r="S561" s="87"/>
      <c r="T561" s="87"/>
      <c r="U561" s="94" t="str">
        <f t="array" ref="U561">IFERROR(INDEX(DFD!$D$2:$D$1048791,MATCH($Q561,DFD!$B$2:$B$1048791,0)),"")</f>
        <v/>
      </c>
      <c r="V561" s="94" t="s">
        <v>280</v>
      </c>
      <c r="W561" s="97" t="str">
        <f t="array" ref="W561">IFERROR(INDEX(DFD!$E$2:$E$1048791,MATCH($Q561,DFD!$B$2:$B$1048791,0)),"")</f>
        <v/>
      </c>
      <c r="X561" s="97" t="str">
        <f t="array" ref="X561">IFERROR(INDEX(DFD!$K$2:$K$1048791,MATCH($Q561,DFD!$B$2:$B$1048791,0)),"")</f>
        <v/>
      </c>
      <c r="Y561" s="97" t="str">
        <f t="array" ref="Y561">IFERROR(INDEX(DFD!$L$2:$L$1048790,MATCH($Q561,DFD!$B$2:$B$1048790,0)),"")</f>
        <v/>
      </c>
      <c r="Z561" s="97">
        <f t="shared" si="13"/>
        <v>45</v>
      </c>
      <c r="AA561" s="87"/>
      <c r="AB561" s="87" t="s">
        <v>78</v>
      </c>
      <c r="AC561" s="87"/>
      <c r="AD561" s="99">
        <v>46043.0</v>
      </c>
      <c r="AE561" s="100">
        <f t="shared" si="8"/>
        <v>1</v>
      </c>
    </row>
    <row r="562" ht="15.75" customHeight="1">
      <c r="A562" s="67" t="s">
        <v>1753</v>
      </c>
      <c r="B562" s="59" t="s">
        <v>184</v>
      </c>
      <c r="C562" s="60" t="s">
        <v>1754</v>
      </c>
      <c r="D562" s="60" t="s">
        <v>51</v>
      </c>
      <c r="E562" s="60">
        <v>30.0</v>
      </c>
      <c r="F562" s="72">
        <v>3600.0</v>
      </c>
      <c r="G562" s="73" t="s">
        <v>53</v>
      </c>
      <c r="H562" s="74">
        <v>46174.0</v>
      </c>
      <c r="I562" s="67" t="s">
        <v>17</v>
      </c>
      <c r="J562" s="67" t="s">
        <v>54</v>
      </c>
      <c r="K562" s="67" t="s">
        <v>66</v>
      </c>
      <c r="L562" s="67" t="s">
        <v>67</v>
      </c>
      <c r="M562" s="73" t="s">
        <v>104</v>
      </c>
      <c r="N562" s="67" t="s">
        <v>20</v>
      </c>
      <c r="O562" s="59" t="s">
        <v>69</v>
      </c>
      <c r="P562" s="59"/>
      <c r="Q562" s="59" t="s">
        <v>576</v>
      </c>
      <c r="R562" s="76" t="s">
        <v>577</v>
      </c>
      <c r="S562" s="59"/>
      <c r="T562" s="59"/>
      <c r="U562" s="77" t="str">
        <f t="array" ref="U562">IFERROR(INDEX(DFD!$D$2:$D$1048791,MATCH($Q562,DFD!$B$2:$B$1048791,0)),"")</f>
        <v/>
      </c>
      <c r="V562" s="77" t="s">
        <v>280</v>
      </c>
      <c r="W562" s="84" t="str">
        <f t="array" ref="W562">IFERROR(INDEX(DFD!$E$2:$E$1048791,MATCH($Q562,DFD!$B$2:$B$1048791,0)),"")</f>
        <v/>
      </c>
      <c r="X562" s="84" t="str">
        <f t="array" ref="X562">IFERROR(INDEX(DFD!$K$2:$K$1048791,MATCH($Q562,DFD!$B$2:$B$1048791,0)),"")</f>
        <v/>
      </c>
      <c r="Y562" s="84" t="str">
        <f t="array" ref="Y562">IFERROR(INDEX(DFD!$L$2:$L$1048790,MATCH($Q562,DFD!$B$2:$B$1048790,0)),"")</f>
        <v/>
      </c>
      <c r="Z562" s="84">
        <f t="shared" si="13"/>
        <v>45</v>
      </c>
      <c r="AA562" s="59"/>
      <c r="AB562" s="59" t="s">
        <v>78</v>
      </c>
      <c r="AC562" s="59"/>
      <c r="AD562" s="85">
        <v>46043.0</v>
      </c>
      <c r="AE562" s="86">
        <f t="shared" si="8"/>
        <v>1</v>
      </c>
    </row>
    <row r="563" ht="15.75" customHeight="1">
      <c r="A563" s="87" t="s">
        <v>1755</v>
      </c>
      <c r="B563" s="87" t="s">
        <v>136</v>
      </c>
      <c r="C563" s="88" t="s">
        <v>1756</v>
      </c>
      <c r="D563" s="88" t="s">
        <v>51</v>
      </c>
      <c r="E563" s="88">
        <v>2.0</v>
      </c>
      <c r="F563" s="89">
        <v>240.0</v>
      </c>
      <c r="G563" s="90" t="s">
        <v>53</v>
      </c>
      <c r="H563" s="91">
        <v>46143.0</v>
      </c>
      <c r="I563" s="92" t="s">
        <v>17</v>
      </c>
      <c r="J563" s="92" t="s">
        <v>54</v>
      </c>
      <c r="K563" s="92" t="s">
        <v>66</v>
      </c>
      <c r="L563" s="92" t="s">
        <v>67</v>
      </c>
      <c r="M563" s="90" t="s">
        <v>104</v>
      </c>
      <c r="N563" s="92" t="s">
        <v>5</v>
      </c>
      <c r="O563" s="87" t="s">
        <v>69</v>
      </c>
      <c r="P563" s="87"/>
      <c r="Q563" s="87" t="s">
        <v>576</v>
      </c>
      <c r="R563" s="93" t="s">
        <v>577</v>
      </c>
      <c r="S563" s="87"/>
      <c r="T563" s="87"/>
      <c r="U563" s="94" t="str">
        <f t="array" ref="U563">IFERROR(INDEX(DFD!$D$2:$D$1048791,MATCH($Q563,DFD!$B$2:$B$1048791,0)),"")</f>
        <v/>
      </c>
      <c r="V563" s="94" t="s">
        <v>280</v>
      </c>
      <c r="W563" s="97" t="str">
        <f t="array" ref="W563">IFERROR(INDEX(DFD!$E$2:$E$1048791,MATCH($Q563,DFD!$B$2:$B$1048791,0)),"")</f>
        <v/>
      </c>
      <c r="X563" s="97" t="str">
        <f t="array" ref="X563">IFERROR(INDEX(DFD!$K$2:$K$1048791,MATCH($Q563,DFD!$B$2:$B$1048791,0)),"")</f>
        <v/>
      </c>
      <c r="Y563" s="97" t="str">
        <f t="array" ref="Y563">IFERROR(INDEX(DFD!$L$2:$L$1048790,MATCH($Q563,DFD!$B$2:$B$1048790,0)),"")</f>
        <v/>
      </c>
      <c r="Z563" s="97">
        <f t="shared" si="13"/>
        <v>45</v>
      </c>
      <c r="AA563" s="87"/>
      <c r="AB563" s="87" t="s">
        <v>78</v>
      </c>
      <c r="AC563" s="87"/>
      <c r="AD563" s="99">
        <v>46043.0</v>
      </c>
      <c r="AE563" s="100">
        <f t="shared" si="8"/>
        <v>1</v>
      </c>
    </row>
    <row r="564" ht="15.75" customHeight="1">
      <c r="A564" s="59" t="s">
        <v>1757</v>
      </c>
      <c r="B564" s="59" t="s">
        <v>136</v>
      </c>
      <c r="C564" s="60" t="s">
        <v>1758</v>
      </c>
      <c r="D564" s="60" t="s">
        <v>51</v>
      </c>
      <c r="E564" s="60">
        <v>2.0</v>
      </c>
      <c r="F564" s="72">
        <v>364.0</v>
      </c>
      <c r="G564" s="73" t="s">
        <v>53</v>
      </c>
      <c r="H564" s="74">
        <v>46174.0</v>
      </c>
      <c r="I564" s="67" t="s">
        <v>17</v>
      </c>
      <c r="J564" s="67" t="s">
        <v>54</v>
      </c>
      <c r="K564" s="67" t="s">
        <v>66</v>
      </c>
      <c r="L564" s="67" t="s">
        <v>67</v>
      </c>
      <c r="M564" s="73" t="s">
        <v>104</v>
      </c>
      <c r="N564" s="67" t="s">
        <v>5</v>
      </c>
      <c r="O564" s="67" t="s">
        <v>89</v>
      </c>
      <c r="P564" s="59"/>
      <c r="Q564" s="59" t="s">
        <v>576</v>
      </c>
      <c r="R564" s="76" t="s">
        <v>577</v>
      </c>
      <c r="S564" s="59"/>
      <c r="T564" s="59"/>
      <c r="U564" s="77" t="str">
        <f t="array" ref="U564">IFERROR(INDEX(DFD!$D$2:$D$1048791,MATCH($Q564,DFD!$B$2:$B$1048791,0)),"")</f>
        <v/>
      </c>
      <c r="V564" s="77" t="s">
        <v>280</v>
      </c>
      <c r="W564" s="84" t="str">
        <f t="array" ref="W564">IFERROR(INDEX(DFD!$E$2:$E$1048791,MATCH($Q564,DFD!$B$2:$B$1048791,0)),"")</f>
        <v/>
      </c>
      <c r="X564" s="84" t="str">
        <f t="array" ref="X564">IFERROR(INDEX(DFD!$K$2:$K$1048791,MATCH($Q564,DFD!$B$2:$B$1048791,0)),"")</f>
        <v/>
      </c>
      <c r="Y564" s="84" t="str">
        <f t="array" ref="Y564">IFERROR(INDEX(DFD!$L$2:$L$1048790,MATCH($Q564,DFD!$B$2:$B$1048790,0)),"")</f>
        <v/>
      </c>
      <c r="Z564" s="84">
        <f t="shared" si="13"/>
        <v>45</v>
      </c>
      <c r="AA564" s="59"/>
      <c r="AB564" s="59" t="s">
        <v>78</v>
      </c>
      <c r="AC564" s="59"/>
      <c r="AD564" s="85">
        <v>46043.0</v>
      </c>
      <c r="AE564" s="86">
        <f t="shared" si="8"/>
        <v>1</v>
      </c>
    </row>
    <row r="565" ht="15.75" customHeight="1">
      <c r="A565" s="87" t="s">
        <v>1759</v>
      </c>
      <c r="B565" s="87" t="s">
        <v>277</v>
      </c>
      <c r="C565" s="88" t="s">
        <v>1760</v>
      </c>
      <c r="D565" s="88" t="s">
        <v>51</v>
      </c>
      <c r="E565" s="88">
        <v>25.0</v>
      </c>
      <c r="F565" s="89">
        <v>9000.0</v>
      </c>
      <c r="G565" s="90" t="s">
        <v>53</v>
      </c>
      <c r="H565" s="91">
        <v>46204.0</v>
      </c>
      <c r="I565" s="92" t="s">
        <v>17</v>
      </c>
      <c r="J565" s="92" t="s">
        <v>54</v>
      </c>
      <c r="K565" s="92" t="s">
        <v>66</v>
      </c>
      <c r="L565" s="92" t="s">
        <v>67</v>
      </c>
      <c r="M565" s="90" t="s">
        <v>167</v>
      </c>
      <c r="N565" s="92" t="s">
        <v>5</v>
      </c>
      <c r="O565" s="87" t="s">
        <v>69</v>
      </c>
      <c r="P565" s="87"/>
      <c r="Q565" s="87" t="s">
        <v>268</v>
      </c>
      <c r="R565" s="93" t="s">
        <v>269</v>
      </c>
      <c r="S565" s="87"/>
      <c r="T565" s="87"/>
      <c r="U565" s="94" t="str">
        <f t="array" ref="U565">IFERROR(INDEX(DFD!$D$2:$D$1048791,MATCH($Q565,DFD!$B$2:$B$1048791,0)),"")</f>
        <v/>
      </c>
      <c r="V565" s="94" t="str">
        <f t="array" ref="V565">IFERROR(INDEX(DFD!$F$2:$F$1048791,MATCH($Q565,DFD!$B$2:$B$1048791,0)),"")</f>
        <v/>
      </c>
      <c r="W565" s="97" t="str">
        <f t="array" ref="W565">IFERROR(INDEX(DFD!$E$2:$E$1048791,MATCH($Q565,DFD!$B$2:$B$1048791,0)),"")</f>
        <v/>
      </c>
      <c r="X565" s="97" t="str">
        <f t="array" ref="X565">IFERROR(INDEX(DFD!$K$2:$K$1048791,MATCH($Q565,DFD!$B$2:$B$1048791,0)),"")</f>
        <v/>
      </c>
      <c r="Y565" s="97" t="str">
        <f t="array" ref="Y565">IFERROR(INDEX(DFD!$L$2:$L$1048790,MATCH($Q565,DFD!$B$2:$B$1048790,0)),"")</f>
        <v/>
      </c>
      <c r="Z565" s="97">
        <f t="shared" si="13"/>
        <v>45</v>
      </c>
      <c r="AA565" s="87"/>
      <c r="AB565" s="87" t="s">
        <v>78</v>
      </c>
      <c r="AC565" s="87"/>
      <c r="AD565" s="99">
        <v>46043.0</v>
      </c>
      <c r="AE565" s="100">
        <f t="shared" si="8"/>
        <v>1</v>
      </c>
    </row>
    <row r="566" ht="15.75" customHeight="1">
      <c r="A566" s="67" t="s">
        <v>1761</v>
      </c>
      <c r="B566" s="71" t="s">
        <v>184</v>
      </c>
      <c r="C566" s="60" t="s">
        <v>1762</v>
      </c>
      <c r="D566" s="60" t="s">
        <v>51</v>
      </c>
      <c r="E566" s="60">
        <v>100.0</v>
      </c>
      <c r="F566" s="72">
        <v>1450.0</v>
      </c>
      <c r="G566" s="73" t="s">
        <v>53</v>
      </c>
      <c r="H566" s="74">
        <v>46174.0</v>
      </c>
      <c r="I566" s="67" t="s">
        <v>17</v>
      </c>
      <c r="J566" s="67" t="s">
        <v>54</v>
      </c>
      <c r="K566" s="67" t="s">
        <v>66</v>
      </c>
      <c r="L566" s="67" t="s">
        <v>67</v>
      </c>
      <c r="M566" s="73" t="s">
        <v>117</v>
      </c>
      <c r="N566" s="67" t="s">
        <v>20</v>
      </c>
      <c r="O566" s="59" t="s">
        <v>69</v>
      </c>
      <c r="P566" s="59"/>
      <c r="Q566" s="59" t="s">
        <v>970</v>
      </c>
      <c r="R566" s="76" t="s">
        <v>187</v>
      </c>
      <c r="S566" s="59"/>
      <c r="T566" s="59"/>
      <c r="U566" s="77" t="str">
        <f t="array" ref="U566">IFERROR(INDEX(DFD!$D$2:$D$1048791,MATCH($Q566,DFD!$B$2:$B$1048791,0)),"")</f>
        <v/>
      </c>
      <c r="V566" s="77" t="s">
        <v>280</v>
      </c>
      <c r="W566" s="84" t="str">
        <f t="array" ref="W566">IFERROR(INDEX(DFD!$E$2:$E$1048791,MATCH($Q566,DFD!$B$2:$B$1048791,0)),"")</f>
        <v/>
      </c>
      <c r="X566" s="84" t="str">
        <f t="array" ref="X566">IFERROR(INDEX(DFD!$K$2:$K$1048791,MATCH($Q566,DFD!$B$2:$B$1048791,0)),"")</f>
        <v/>
      </c>
      <c r="Y566" s="84" t="str">
        <f t="array" ref="Y566">IFERROR(INDEX(DFD!$L$2:$L$1048790,MATCH($Q566,DFD!$B$2:$B$1048790,0)),"")</f>
        <v/>
      </c>
      <c r="Z566" s="84">
        <f t="shared" si="13"/>
        <v>45</v>
      </c>
      <c r="AA566" s="59"/>
      <c r="AB566" s="59" t="s">
        <v>78</v>
      </c>
      <c r="AC566" s="59"/>
      <c r="AD566" s="85">
        <v>46043.0</v>
      </c>
      <c r="AE566" s="86">
        <f t="shared" si="8"/>
        <v>1</v>
      </c>
    </row>
    <row r="567" ht="15.75" customHeight="1">
      <c r="A567" s="87" t="s">
        <v>1763</v>
      </c>
      <c r="B567" s="92" t="s">
        <v>355</v>
      </c>
      <c r="C567" s="88" t="s">
        <v>1764</v>
      </c>
      <c r="D567" s="116" t="s">
        <v>51</v>
      </c>
      <c r="E567" s="116">
        <v>2.0</v>
      </c>
      <c r="F567" s="137">
        <v>16000.0</v>
      </c>
      <c r="G567" s="90" t="s">
        <v>53</v>
      </c>
      <c r="H567" s="118">
        <v>46235.0</v>
      </c>
      <c r="I567" s="92" t="s">
        <v>18</v>
      </c>
      <c r="J567" s="92" t="s">
        <v>54</v>
      </c>
      <c r="K567" s="92" t="s">
        <v>83</v>
      </c>
      <c r="L567" s="92" t="s">
        <v>56</v>
      </c>
      <c r="M567" s="90" t="s">
        <v>104</v>
      </c>
      <c r="N567" s="92" t="s">
        <v>58</v>
      </c>
      <c r="O567" s="92" t="s">
        <v>89</v>
      </c>
      <c r="P567" s="87"/>
      <c r="Q567" s="87" t="s">
        <v>52</v>
      </c>
      <c r="R567" s="93" t="s">
        <v>725</v>
      </c>
      <c r="S567" s="87"/>
      <c r="T567" s="87"/>
      <c r="U567" s="94" t="str">
        <f t="array" ref="U567">IFERROR(INDEX(DFD!$D$2:$D$1048791,MATCH($Q567,DFD!$B$2:$B$1048791,0)),"")</f>
        <v/>
      </c>
      <c r="V567" s="94" t="str">
        <f t="array" ref="V567">IFERROR(INDEX(DFD!$F$2:$F$1048791,MATCH($Q567,DFD!$B$2:$B$1048791,0)),"")</f>
        <v/>
      </c>
      <c r="W567" s="97" t="str">
        <f t="array" ref="W567">IFERROR(INDEX(DFD!$E$2:$E$1048791,MATCH($Q567,DFD!$B$2:$B$1048791,0)),"")</f>
        <v/>
      </c>
      <c r="X567" s="97" t="str">
        <f t="array" ref="X567">IFERROR(INDEX(DFD!$K$2:$K$1048791,MATCH($Q567,DFD!$B$2:$B$1048791,0)),"")</f>
        <v/>
      </c>
      <c r="Y567" s="97" t="str">
        <f t="array" ref="Y567">IFERROR(INDEX(DFD!$L$2:$L$1048790,MATCH($Q567,DFD!$B$2:$B$1048790,0)),"")</f>
        <v/>
      </c>
      <c r="Z567" s="97">
        <f t="shared" si="13"/>
        <v>45</v>
      </c>
      <c r="AA567" s="87"/>
      <c r="AB567" s="87" t="s">
        <v>72</v>
      </c>
      <c r="AC567" s="87"/>
      <c r="AD567" s="99">
        <v>46043.0</v>
      </c>
      <c r="AE567" s="100">
        <f t="shared" si="8"/>
        <v>1</v>
      </c>
    </row>
    <row r="568" ht="15.75" customHeight="1">
      <c r="A568" s="59" t="s">
        <v>1765</v>
      </c>
      <c r="B568" s="67" t="s">
        <v>355</v>
      </c>
      <c r="C568" s="60" t="s">
        <v>1766</v>
      </c>
      <c r="D568" s="81" t="s">
        <v>51</v>
      </c>
      <c r="E568" s="81">
        <v>2.0</v>
      </c>
      <c r="F568" s="101">
        <v>22000.0</v>
      </c>
      <c r="G568" s="73" t="s">
        <v>53</v>
      </c>
      <c r="H568" s="83">
        <v>46235.0</v>
      </c>
      <c r="I568" s="67" t="s">
        <v>18</v>
      </c>
      <c r="J568" s="67" t="s">
        <v>54</v>
      </c>
      <c r="K568" s="67" t="s">
        <v>83</v>
      </c>
      <c r="L568" s="67" t="s">
        <v>56</v>
      </c>
      <c r="M568" s="73" t="s">
        <v>132</v>
      </c>
      <c r="N568" s="67" t="s">
        <v>58</v>
      </c>
      <c r="O568" s="59" t="s">
        <v>69</v>
      </c>
      <c r="P568" s="59"/>
      <c r="Q568" s="59" t="s">
        <v>52</v>
      </c>
      <c r="R568" s="76" t="s">
        <v>725</v>
      </c>
      <c r="S568" s="59"/>
      <c r="T568" s="59"/>
      <c r="U568" s="77" t="str">
        <f t="array" ref="U568">IFERROR(INDEX(DFD!$D$2:$D$1048791,MATCH($Q568,DFD!$B$2:$B$1048791,0)),"")</f>
        <v/>
      </c>
      <c r="V568" s="77" t="str">
        <f t="array" ref="V568">IFERROR(INDEX(DFD!$F$2:$F$1048791,MATCH($Q568,DFD!$B$2:$B$1048791,0)),"")</f>
        <v/>
      </c>
      <c r="W568" s="84" t="str">
        <f t="array" ref="W568">IFERROR(INDEX(DFD!$E$2:$E$1048791,MATCH($Q568,DFD!$B$2:$B$1048791,0)),"")</f>
        <v/>
      </c>
      <c r="X568" s="84" t="str">
        <f t="array" ref="X568">IFERROR(INDEX(DFD!$K$2:$K$1048791,MATCH($Q568,DFD!$B$2:$B$1048791,0)),"")</f>
        <v/>
      </c>
      <c r="Y568" s="84" t="str">
        <f t="array" ref="Y568">IFERROR(INDEX(DFD!$L$2:$L$1048790,MATCH($Q568,DFD!$B$2:$B$1048790,0)),"")</f>
        <v/>
      </c>
      <c r="Z568" s="84">
        <f t="shared" si="13"/>
        <v>45</v>
      </c>
      <c r="AA568" s="59"/>
      <c r="AB568" s="59" t="s">
        <v>72</v>
      </c>
      <c r="AC568" s="59"/>
      <c r="AD568" s="85">
        <v>46043.0</v>
      </c>
      <c r="AE568" s="86">
        <f t="shared" si="8"/>
        <v>1</v>
      </c>
    </row>
    <row r="569" ht="15.75" customHeight="1">
      <c r="A569" s="87" t="s">
        <v>1767</v>
      </c>
      <c r="B569" s="104" t="s">
        <v>101</v>
      </c>
      <c r="C569" s="88" t="s">
        <v>1768</v>
      </c>
      <c r="D569" s="116" t="s">
        <v>51</v>
      </c>
      <c r="E569" s="116">
        <v>15.0</v>
      </c>
      <c r="F569" s="137">
        <v>72000.0</v>
      </c>
      <c r="G569" s="90" t="s">
        <v>53</v>
      </c>
      <c r="H569" s="118">
        <v>46266.0</v>
      </c>
      <c r="I569" s="92" t="s">
        <v>18</v>
      </c>
      <c r="J569" s="92" t="s">
        <v>54</v>
      </c>
      <c r="K569" s="92" t="s">
        <v>83</v>
      </c>
      <c r="L569" s="92" t="s">
        <v>56</v>
      </c>
      <c r="M569" s="90" t="s">
        <v>104</v>
      </c>
      <c r="N569" s="92" t="s">
        <v>58</v>
      </c>
      <c r="O569" s="87" t="s">
        <v>69</v>
      </c>
      <c r="P569" s="87"/>
      <c r="Q569" s="87" t="s">
        <v>1769</v>
      </c>
      <c r="R569" s="93" t="s">
        <v>1770</v>
      </c>
      <c r="S569" s="87"/>
      <c r="T569" s="87"/>
      <c r="U569" s="94" t="s">
        <v>1771</v>
      </c>
      <c r="V569" s="94" t="s">
        <v>280</v>
      </c>
      <c r="W569" s="97" t="str">
        <f t="array" ref="W569">IFERROR(INDEX(DFD!$E$2:$E$1048791,MATCH($Q569,DFD!$B$2:$B$1048791,0)),"")</f>
        <v/>
      </c>
      <c r="X569" s="97" t="str">
        <f t="array" ref="X569">IFERROR(INDEX(DFD!$K$2:$K$1048791,MATCH($Q569,DFD!$B$2:$B$1048791,0)),"")</f>
        <v/>
      </c>
      <c r="Y569" s="97" t="str">
        <f t="array" ref="Y569">IFERROR(INDEX(DFD!$L$2:$L$1048790,MATCH($Q569,DFD!$B$2:$B$1048790,0)),"")</f>
        <v/>
      </c>
      <c r="Z569" s="97">
        <f t="shared" si="13"/>
        <v>45</v>
      </c>
      <c r="AA569" s="87"/>
      <c r="AB569" s="87" t="s">
        <v>78</v>
      </c>
      <c r="AC569" s="87"/>
      <c r="AD569" s="99">
        <v>46043.0</v>
      </c>
      <c r="AE569" s="100">
        <f t="shared" si="8"/>
        <v>1</v>
      </c>
    </row>
    <row r="570" ht="15.75" customHeight="1">
      <c r="A570" s="59" t="s">
        <v>1772</v>
      </c>
      <c r="B570" s="59" t="s">
        <v>172</v>
      </c>
      <c r="C570" s="60" t="s">
        <v>1768</v>
      </c>
      <c r="D570" s="60" t="s">
        <v>51</v>
      </c>
      <c r="E570" s="60">
        <v>4.0</v>
      </c>
      <c r="F570" s="72">
        <v>19200.0</v>
      </c>
      <c r="G570" s="73" t="s">
        <v>53</v>
      </c>
      <c r="H570" s="74">
        <v>46235.0</v>
      </c>
      <c r="I570" s="67" t="s">
        <v>17</v>
      </c>
      <c r="J570" s="67" t="s">
        <v>54</v>
      </c>
      <c r="K570" s="67" t="s">
        <v>66</v>
      </c>
      <c r="L570" s="67" t="s">
        <v>67</v>
      </c>
      <c r="M570" s="73" t="s">
        <v>132</v>
      </c>
      <c r="N570" s="67" t="s">
        <v>5</v>
      </c>
      <c r="O570" s="67" t="s">
        <v>89</v>
      </c>
      <c r="P570" s="59"/>
      <c r="Q570" s="59" t="s">
        <v>1769</v>
      </c>
      <c r="R570" s="76" t="s">
        <v>1770</v>
      </c>
      <c r="S570" s="59"/>
      <c r="T570" s="59"/>
      <c r="U570" s="77" t="s">
        <v>1771</v>
      </c>
      <c r="V570" s="77" t="s">
        <v>280</v>
      </c>
      <c r="W570" s="84" t="str">
        <f t="array" ref="W570">IFERROR(INDEX(DFD!$E$2:$E$1048791,MATCH($Q570,DFD!$B$2:$B$1048791,0)),"")</f>
        <v/>
      </c>
      <c r="X570" s="84" t="str">
        <f t="array" ref="X570">IFERROR(INDEX(DFD!$K$2:$K$1048791,MATCH($Q570,DFD!$B$2:$B$1048791,0)),"")</f>
        <v/>
      </c>
      <c r="Y570" s="84" t="str">
        <f t="array" ref="Y570">IFERROR(INDEX(DFD!$L$2:$L$1048790,MATCH($Q570,DFD!$B$2:$B$1048790,0)),"")</f>
        <v/>
      </c>
      <c r="Z570" s="84">
        <f t="shared" si="13"/>
        <v>45</v>
      </c>
      <c r="AA570" s="59"/>
      <c r="AB570" s="59" t="s">
        <v>78</v>
      </c>
      <c r="AC570" s="59"/>
      <c r="AD570" s="85">
        <v>46043.0</v>
      </c>
      <c r="AE570" s="86">
        <f t="shared" si="8"/>
        <v>1</v>
      </c>
    </row>
    <row r="571" ht="15.75" customHeight="1">
      <c r="A571" s="87" t="s">
        <v>1773</v>
      </c>
      <c r="B571" s="87" t="s">
        <v>123</v>
      </c>
      <c r="C571" s="88" t="s">
        <v>1768</v>
      </c>
      <c r="D571" s="88" t="s">
        <v>51</v>
      </c>
      <c r="E571" s="88">
        <v>2.0</v>
      </c>
      <c r="F571" s="89">
        <v>9600.0</v>
      </c>
      <c r="G571" s="90" t="s">
        <v>53</v>
      </c>
      <c r="H571" s="91">
        <v>46204.0</v>
      </c>
      <c r="I571" s="92" t="s">
        <v>17</v>
      </c>
      <c r="J571" s="92" t="s">
        <v>54</v>
      </c>
      <c r="K571" s="92" t="s">
        <v>66</v>
      </c>
      <c r="L571" s="92" t="s">
        <v>67</v>
      </c>
      <c r="M571" s="90" t="s">
        <v>132</v>
      </c>
      <c r="N571" s="92" t="s">
        <v>5</v>
      </c>
      <c r="O571" s="87" t="s">
        <v>69</v>
      </c>
      <c r="P571" s="87"/>
      <c r="Q571" s="87" t="s">
        <v>1769</v>
      </c>
      <c r="R571" s="93" t="s">
        <v>1770</v>
      </c>
      <c r="S571" s="87"/>
      <c r="T571" s="87"/>
      <c r="U571" s="94" t="s">
        <v>1771</v>
      </c>
      <c r="V571" s="94" t="s">
        <v>280</v>
      </c>
      <c r="W571" s="97" t="str">
        <f t="array" ref="W571">IFERROR(INDEX(DFD!$E$2:$E$1048791,MATCH($Q571,DFD!$B$2:$B$1048791,0)),"")</f>
        <v/>
      </c>
      <c r="X571" s="97" t="str">
        <f t="array" ref="X571">IFERROR(INDEX(DFD!$K$2:$K$1048791,MATCH($Q571,DFD!$B$2:$B$1048791,0)),"")</f>
        <v/>
      </c>
      <c r="Y571" s="97" t="str">
        <f t="array" ref="Y571">IFERROR(INDEX(DFD!$L$2:$L$1048790,MATCH($Q571,DFD!$B$2:$B$1048790,0)),"")</f>
        <v/>
      </c>
      <c r="Z571" s="97">
        <f t="shared" si="13"/>
        <v>45</v>
      </c>
      <c r="AA571" s="87"/>
      <c r="AB571" s="87" t="s">
        <v>78</v>
      </c>
      <c r="AC571" s="87"/>
      <c r="AD571" s="99">
        <v>46043.0</v>
      </c>
      <c r="AE571" s="100">
        <f t="shared" si="8"/>
        <v>1</v>
      </c>
    </row>
    <row r="572" ht="15.75" customHeight="1">
      <c r="A572" s="59" t="s">
        <v>1774</v>
      </c>
      <c r="B572" s="67" t="s">
        <v>52</v>
      </c>
      <c r="C572" s="60" t="s">
        <v>1775</v>
      </c>
      <c r="D572" s="81" t="s">
        <v>51</v>
      </c>
      <c r="E572" s="81">
        <v>1.0</v>
      </c>
      <c r="F572" s="101">
        <v>30000.0</v>
      </c>
      <c r="G572" s="73" t="s">
        <v>53</v>
      </c>
      <c r="H572" s="83">
        <v>46235.0</v>
      </c>
      <c r="I572" s="67" t="s">
        <v>18</v>
      </c>
      <c r="J572" s="67" t="s">
        <v>54</v>
      </c>
      <c r="K572" s="67" t="s">
        <v>83</v>
      </c>
      <c r="L572" s="67" t="s">
        <v>56</v>
      </c>
      <c r="M572" s="73" t="s">
        <v>104</v>
      </c>
      <c r="N572" s="67" t="s">
        <v>58</v>
      </c>
      <c r="O572" s="59" t="s">
        <v>69</v>
      </c>
      <c r="P572" s="59"/>
      <c r="Q572" s="59" t="s">
        <v>52</v>
      </c>
      <c r="R572" s="76" t="s">
        <v>1776</v>
      </c>
      <c r="S572" s="59"/>
      <c r="T572" s="59"/>
      <c r="U572" s="77" t="str">
        <f t="array" ref="U572">IFERROR(INDEX(DFD!$D$2:$D$1048791,MATCH($Q572,DFD!$B$2:$B$1048791,0)),"")</f>
        <v/>
      </c>
      <c r="V572" s="77" t="str">
        <f t="array" ref="V572">IFERROR(INDEX(DFD!$F$2:$F$1048791,MATCH($Q572,DFD!$B$2:$B$1048791,0)),"")</f>
        <v/>
      </c>
      <c r="W572" s="84" t="str">
        <f t="array" ref="W572">IFERROR(INDEX(DFD!$E$2:$E$1048791,MATCH($Q572,DFD!$B$2:$B$1048791,0)),"")</f>
        <v/>
      </c>
      <c r="X572" s="84" t="str">
        <f t="array" ref="X572">IFERROR(INDEX(DFD!$K$2:$K$1048791,MATCH($Q572,DFD!$B$2:$B$1048791,0)),"")</f>
        <v/>
      </c>
      <c r="Y572" s="84" t="str">
        <f t="array" ref="Y572">IFERROR(INDEX(DFD!$L$2:$L$1048790,MATCH($Q572,DFD!$B$2:$B$1048790,0)),"")</f>
        <v/>
      </c>
      <c r="Z572" s="84">
        <f t="shared" si="13"/>
        <v>45</v>
      </c>
      <c r="AA572" s="59"/>
      <c r="AB572" s="59" t="s">
        <v>72</v>
      </c>
      <c r="AC572" s="59"/>
      <c r="AD572" s="85">
        <v>46043.0</v>
      </c>
      <c r="AE572" s="86">
        <f t="shared" si="8"/>
        <v>1</v>
      </c>
    </row>
    <row r="573" ht="15.75" customHeight="1">
      <c r="A573" s="92" t="s">
        <v>1777</v>
      </c>
      <c r="B573" s="87" t="s">
        <v>184</v>
      </c>
      <c r="C573" s="88" t="s">
        <v>1778</v>
      </c>
      <c r="D573" s="88" t="s">
        <v>1105</v>
      </c>
      <c r="E573" s="88">
        <v>10.0</v>
      </c>
      <c r="F573" s="89">
        <v>42.0</v>
      </c>
      <c r="G573" s="90" t="s">
        <v>53</v>
      </c>
      <c r="H573" s="91">
        <v>46143.0</v>
      </c>
      <c r="I573" s="92" t="s">
        <v>17</v>
      </c>
      <c r="J573" s="92" t="s">
        <v>54</v>
      </c>
      <c r="K573" s="92" t="s">
        <v>66</v>
      </c>
      <c r="L573" s="92" t="s">
        <v>67</v>
      </c>
      <c r="M573" s="90" t="s">
        <v>132</v>
      </c>
      <c r="N573" s="92" t="s">
        <v>20</v>
      </c>
      <c r="O573" s="92" t="s">
        <v>89</v>
      </c>
      <c r="P573" s="87"/>
      <c r="Q573" s="87" t="s">
        <v>286</v>
      </c>
      <c r="R573" s="93" t="s">
        <v>287</v>
      </c>
      <c r="S573" s="87"/>
      <c r="T573" s="87"/>
      <c r="U573" s="94" t="str">
        <f t="array" ref="U573">IFERROR(INDEX(DFD!$D$2:$D$1048791,MATCH($Q573,DFD!$B$2:$B$1048791,0)),"")</f>
        <v/>
      </c>
      <c r="V573" s="94" t="str">
        <f t="array" ref="V573">IFERROR(INDEX(DFD!$F$2:$F$1048791,MATCH($Q573,DFD!$B$2:$B$1048791,0)),"")</f>
        <v/>
      </c>
      <c r="W573" s="97" t="str">
        <f t="array" ref="W573">IFERROR(INDEX(DFD!$E$2:$E$1048791,MATCH($Q573,DFD!$B$2:$B$1048791,0)),"")</f>
        <v/>
      </c>
      <c r="X573" s="97" t="str">
        <f t="array" ref="X573">IFERROR(INDEX(DFD!$K$2:$K$1048791,MATCH($Q573,DFD!$B$2:$B$1048791,0)),"")</f>
        <v/>
      </c>
      <c r="Y573" s="97" t="str">
        <f t="array" ref="Y573">IFERROR(INDEX(DFD!$L$2:$L$1048790,MATCH($Q573,DFD!$B$2:$B$1048790,0)),"")</f>
        <v/>
      </c>
      <c r="Z573" s="97">
        <f t="shared" si="13"/>
        <v>45</v>
      </c>
      <c r="AA573" s="87"/>
      <c r="AB573" s="87" t="s">
        <v>288</v>
      </c>
      <c r="AC573" s="87"/>
      <c r="AD573" s="99">
        <v>46043.0</v>
      </c>
      <c r="AE573" s="100">
        <f t="shared" si="8"/>
        <v>1</v>
      </c>
    </row>
    <row r="574" ht="15.75" customHeight="1">
      <c r="A574" s="67" t="s">
        <v>1779</v>
      </c>
      <c r="B574" s="59" t="s">
        <v>184</v>
      </c>
      <c r="C574" s="60" t="s">
        <v>1780</v>
      </c>
      <c r="D574" s="60" t="s">
        <v>1105</v>
      </c>
      <c r="E574" s="60">
        <v>10.0</v>
      </c>
      <c r="F574" s="72">
        <v>56.0</v>
      </c>
      <c r="G574" s="73" t="s">
        <v>53</v>
      </c>
      <c r="H574" s="74">
        <v>46143.0</v>
      </c>
      <c r="I574" s="67" t="s">
        <v>17</v>
      </c>
      <c r="J574" s="67" t="s">
        <v>54</v>
      </c>
      <c r="K574" s="67" t="s">
        <v>66</v>
      </c>
      <c r="L574" s="67" t="s">
        <v>67</v>
      </c>
      <c r="M574" s="73" t="s">
        <v>132</v>
      </c>
      <c r="N574" s="67" t="s">
        <v>20</v>
      </c>
      <c r="O574" s="59" t="s">
        <v>69</v>
      </c>
      <c r="P574" s="59"/>
      <c r="Q574" s="59" t="s">
        <v>286</v>
      </c>
      <c r="R574" s="76" t="s">
        <v>287</v>
      </c>
      <c r="S574" s="59"/>
      <c r="T574" s="59"/>
      <c r="U574" s="77" t="str">
        <f t="array" ref="U574">IFERROR(INDEX(DFD!$D$2:$D$1048791,MATCH($Q574,DFD!$B$2:$B$1048791,0)),"")</f>
        <v/>
      </c>
      <c r="V574" s="77" t="str">
        <f t="array" ref="V574">IFERROR(INDEX(DFD!$F$2:$F$1048791,MATCH($Q574,DFD!$B$2:$B$1048791,0)),"")</f>
        <v/>
      </c>
      <c r="W574" s="84" t="str">
        <f t="array" ref="W574">IFERROR(INDEX(DFD!$E$2:$E$1048791,MATCH($Q574,DFD!$B$2:$B$1048791,0)),"")</f>
        <v/>
      </c>
      <c r="X574" s="84" t="str">
        <f t="array" ref="X574">IFERROR(INDEX(DFD!$K$2:$K$1048791,MATCH($Q574,DFD!$B$2:$B$1048791,0)),"")</f>
        <v/>
      </c>
      <c r="Y574" s="84" t="str">
        <f t="array" ref="Y574">IFERROR(INDEX(DFD!$L$2:$L$1048790,MATCH($Q574,DFD!$B$2:$B$1048790,0)),"")</f>
        <v/>
      </c>
      <c r="Z574" s="84">
        <f t="shared" si="13"/>
        <v>45</v>
      </c>
      <c r="AA574" s="59"/>
      <c r="AB574" s="59" t="s">
        <v>288</v>
      </c>
      <c r="AC574" s="59"/>
      <c r="AD574" s="85">
        <v>46043.0</v>
      </c>
      <c r="AE574" s="86">
        <f t="shared" si="8"/>
        <v>1</v>
      </c>
    </row>
    <row r="575" ht="15.75" customHeight="1">
      <c r="A575" s="92" t="s">
        <v>1781</v>
      </c>
      <c r="B575" s="87" t="s">
        <v>174</v>
      </c>
      <c r="C575" s="88" t="s">
        <v>1782</v>
      </c>
      <c r="D575" s="88" t="s">
        <v>51</v>
      </c>
      <c r="E575" s="88">
        <v>50.0</v>
      </c>
      <c r="F575" s="89">
        <v>800.0</v>
      </c>
      <c r="G575" s="90" t="s">
        <v>53</v>
      </c>
      <c r="H575" s="91">
        <v>46174.0</v>
      </c>
      <c r="I575" s="92" t="s">
        <v>17</v>
      </c>
      <c r="J575" s="92" t="s">
        <v>54</v>
      </c>
      <c r="K575" s="92" t="s">
        <v>66</v>
      </c>
      <c r="L575" s="92" t="s">
        <v>56</v>
      </c>
      <c r="M575" s="90" t="s">
        <v>132</v>
      </c>
      <c r="N575" s="92" t="s">
        <v>20</v>
      </c>
      <c r="O575" s="87" t="s">
        <v>69</v>
      </c>
      <c r="P575" s="87"/>
      <c r="Q575" s="87" t="s">
        <v>176</v>
      </c>
      <c r="R575" s="93" t="s">
        <v>402</v>
      </c>
      <c r="S575" s="87"/>
      <c r="T575" s="87"/>
      <c r="U575" s="94" t="str">
        <f t="array" ref="U575">IFERROR(INDEX(DFD!$D$2:$D$1048791,MATCH($Q575,DFD!$B$2:$B$1048791,0)),"")</f>
        <v/>
      </c>
      <c r="V575" s="94" t="str">
        <f t="array" ref="V575">IFERROR(INDEX(DFD!$F$2:$F$1048791,MATCH($Q575,DFD!$B$2:$B$1048791,0)),"")</f>
        <v/>
      </c>
      <c r="W575" s="97" t="str">
        <f t="array" ref="W575">IFERROR(INDEX(DFD!$E$2:$E$1048791,MATCH($Q575,DFD!$B$2:$B$1048791,0)),"")</f>
        <v/>
      </c>
      <c r="X575" s="97" t="str">
        <f t="array" ref="X575">IFERROR(INDEX(DFD!$K$2:$K$1048791,MATCH($Q575,DFD!$B$2:$B$1048791,0)),"")</f>
        <v/>
      </c>
      <c r="Y575" s="97" t="str">
        <f t="array" ref="Y575">IFERROR(INDEX(DFD!$L$2:$L$1048790,MATCH($Q575,DFD!$B$2:$B$1048790,0)),"")</f>
        <v/>
      </c>
      <c r="Z575" s="97">
        <f t="shared" si="13"/>
        <v>45</v>
      </c>
      <c r="AA575" s="87"/>
      <c r="AB575" s="87" t="s">
        <v>78</v>
      </c>
      <c r="AC575" s="87"/>
      <c r="AD575" s="99">
        <v>46043.0</v>
      </c>
      <c r="AE575" s="100">
        <f t="shared" si="8"/>
        <v>1</v>
      </c>
    </row>
    <row r="576" ht="15.75" customHeight="1">
      <c r="A576" s="67" t="s">
        <v>1783</v>
      </c>
      <c r="B576" s="59" t="s">
        <v>184</v>
      </c>
      <c r="C576" s="60" t="s">
        <v>1784</v>
      </c>
      <c r="D576" s="60" t="s">
        <v>51</v>
      </c>
      <c r="E576" s="60">
        <v>30.0</v>
      </c>
      <c r="F576" s="72">
        <v>450.0</v>
      </c>
      <c r="G576" s="73" t="s">
        <v>53</v>
      </c>
      <c r="H576" s="74">
        <v>46174.0</v>
      </c>
      <c r="I576" s="67" t="s">
        <v>17</v>
      </c>
      <c r="J576" s="67" t="s">
        <v>54</v>
      </c>
      <c r="K576" s="67" t="s">
        <v>66</v>
      </c>
      <c r="L576" s="67" t="s">
        <v>67</v>
      </c>
      <c r="M576" s="73" t="s">
        <v>112</v>
      </c>
      <c r="N576" s="67" t="s">
        <v>20</v>
      </c>
      <c r="O576" s="67" t="s">
        <v>89</v>
      </c>
      <c r="P576" s="59"/>
      <c r="Q576" s="59" t="s">
        <v>286</v>
      </c>
      <c r="R576" s="76" t="s">
        <v>287</v>
      </c>
      <c r="S576" s="59"/>
      <c r="T576" s="59"/>
      <c r="U576" s="77" t="str">
        <f t="array" ref="U576">IFERROR(INDEX(DFD!$D$2:$D$1048791,MATCH($Q576,DFD!$B$2:$B$1048791,0)),"")</f>
        <v/>
      </c>
      <c r="V576" s="77" t="str">
        <f t="array" ref="V576">IFERROR(INDEX(DFD!$F$2:$F$1048791,MATCH($Q576,DFD!$B$2:$B$1048791,0)),"")</f>
        <v/>
      </c>
      <c r="W576" s="84" t="str">
        <f t="array" ref="W576">IFERROR(INDEX(DFD!$E$2:$E$1048791,MATCH($Q576,DFD!$B$2:$B$1048791,0)),"")</f>
        <v/>
      </c>
      <c r="X576" s="84" t="str">
        <f t="array" ref="X576">IFERROR(INDEX(DFD!$K$2:$K$1048791,MATCH($Q576,DFD!$B$2:$B$1048791,0)),"")</f>
        <v/>
      </c>
      <c r="Y576" s="84" t="str">
        <f t="array" ref="Y576">IFERROR(INDEX(DFD!$L$2:$L$1048790,MATCH($Q576,DFD!$B$2:$B$1048790,0)),"")</f>
        <v/>
      </c>
      <c r="Z576" s="84">
        <f t="shared" si="13"/>
        <v>45</v>
      </c>
      <c r="AA576" s="59"/>
      <c r="AB576" s="59" t="s">
        <v>288</v>
      </c>
      <c r="AC576" s="59"/>
      <c r="AD576" s="85">
        <v>46043.0</v>
      </c>
      <c r="AE576" s="86">
        <f t="shared" si="8"/>
        <v>1</v>
      </c>
    </row>
    <row r="577" ht="15.75" customHeight="1">
      <c r="A577" s="92" t="s">
        <v>1785</v>
      </c>
      <c r="B577" s="87" t="s">
        <v>184</v>
      </c>
      <c r="C577" s="88" t="s">
        <v>1786</v>
      </c>
      <c r="D577" s="88" t="s">
        <v>1105</v>
      </c>
      <c r="E577" s="88">
        <v>60.0</v>
      </c>
      <c r="F577" s="89">
        <v>516.0</v>
      </c>
      <c r="G577" s="90" t="s">
        <v>53</v>
      </c>
      <c r="H577" s="91">
        <v>46174.0</v>
      </c>
      <c r="I577" s="92" t="s">
        <v>17</v>
      </c>
      <c r="J577" s="92" t="s">
        <v>54</v>
      </c>
      <c r="K577" s="92" t="s">
        <v>66</v>
      </c>
      <c r="L577" s="92" t="s">
        <v>67</v>
      </c>
      <c r="M577" s="90" t="s">
        <v>68</v>
      </c>
      <c r="N577" s="92" t="s">
        <v>20</v>
      </c>
      <c r="O577" s="87" t="s">
        <v>69</v>
      </c>
      <c r="P577" s="87"/>
      <c r="Q577" s="87" t="s">
        <v>286</v>
      </c>
      <c r="R577" s="93" t="s">
        <v>287</v>
      </c>
      <c r="S577" s="87"/>
      <c r="T577" s="87"/>
      <c r="U577" s="94" t="str">
        <f t="array" ref="U577">IFERROR(INDEX(DFD!$D$2:$D$1048791,MATCH($Q577,DFD!$B$2:$B$1048791,0)),"")</f>
        <v/>
      </c>
      <c r="V577" s="94" t="str">
        <f t="array" ref="V577">IFERROR(INDEX(DFD!$F$2:$F$1048791,MATCH($Q577,DFD!$B$2:$B$1048791,0)),"")</f>
        <v/>
      </c>
      <c r="W577" s="97" t="str">
        <f t="array" ref="W577">IFERROR(INDEX(DFD!$E$2:$E$1048791,MATCH($Q577,DFD!$B$2:$B$1048791,0)),"")</f>
        <v/>
      </c>
      <c r="X577" s="97" t="str">
        <f t="array" ref="X577">IFERROR(INDEX(DFD!$K$2:$K$1048791,MATCH($Q577,DFD!$B$2:$B$1048791,0)),"")</f>
        <v/>
      </c>
      <c r="Y577" s="97" t="str">
        <f t="array" ref="Y577">IFERROR(INDEX(DFD!$L$2:$L$1048790,MATCH($Q577,DFD!$B$2:$B$1048790,0)),"")</f>
        <v/>
      </c>
      <c r="Z577" s="97">
        <f t="shared" si="13"/>
        <v>45</v>
      </c>
      <c r="AA577" s="87"/>
      <c r="AB577" s="87" t="s">
        <v>288</v>
      </c>
      <c r="AC577" s="87"/>
      <c r="AD577" s="99">
        <v>46043.0</v>
      </c>
      <c r="AE577" s="100">
        <f t="shared" si="8"/>
        <v>1</v>
      </c>
    </row>
    <row r="578" ht="15.75" customHeight="1">
      <c r="A578" s="59" t="s">
        <v>1787</v>
      </c>
      <c r="B578" s="59" t="s">
        <v>148</v>
      </c>
      <c r="C578" s="60" t="s">
        <v>1788</v>
      </c>
      <c r="D578" s="60" t="s">
        <v>1789</v>
      </c>
      <c r="E578" s="60">
        <v>10.0</v>
      </c>
      <c r="F578" s="72">
        <v>400.0</v>
      </c>
      <c r="G578" s="73" t="s">
        <v>53</v>
      </c>
      <c r="H578" s="74">
        <v>46174.0</v>
      </c>
      <c r="I578" s="67" t="s">
        <v>17</v>
      </c>
      <c r="J578" s="67" t="s">
        <v>54</v>
      </c>
      <c r="K578" s="67" t="s">
        <v>66</v>
      </c>
      <c r="L578" s="67" t="s">
        <v>67</v>
      </c>
      <c r="M578" s="73" t="s">
        <v>132</v>
      </c>
      <c r="N578" s="67" t="s">
        <v>5</v>
      </c>
      <c r="O578" s="59" t="s">
        <v>69</v>
      </c>
      <c r="P578" s="59"/>
      <c r="Q578" s="59" t="s">
        <v>1392</v>
      </c>
      <c r="R578" s="76" t="s">
        <v>373</v>
      </c>
      <c r="S578" s="59"/>
      <c r="T578" s="59"/>
      <c r="U578" s="77" t="str">
        <f t="array" ref="U578">IFERROR(INDEX(DFD!$D$2:$D$1048791,MATCH($Q578,DFD!$B$2:$B$1048791,0)),"")</f>
        <v/>
      </c>
      <c r="V578" s="77" t="s">
        <v>280</v>
      </c>
      <c r="W578" s="84" t="str">
        <f t="array" ref="W578">IFERROR(INDEX(DFD!$E$2:$E$1048791,MATCH($Q578,DFD!$B$2:$B$1048791,0)),"")</f>
        <v/>
      </c>
      <c r="X578" s="84" t="str">
        <f t="array" ref="X578">IFERROR(INDEX(DFD!$K$2:$K$1048791,MATCH($Q578,DFD!$B$2:$B$1048791,0)),"")</f>
        <v/>
      </c>
      <c r="Y578" s="84" t="str">
        <f t="array" ref="Y578">IFERROR(INDEX(DFD!$L$2:$L$1048790,MATCH($Q578,DFD!$B$2:$B$1048790,0)),"")</f>
        <v/>
      </c>
      <c r="Z578" s="84">
        <f t="shared" si="13"/>
        <v>45</v>
      </c>
      <c r="AA578" s="59"/>
      <c r="AB578" s="59" t="s">
        <v>78</v>
      </c>
      <c r="AC578" s="59"/>
      <c r="AD578" s="85">
        <v>46043.0</v>
      </c>
      <c r="AE578" s="86">
        <f t="shared" si="8"/>
        <v>1</v>
      </c>
    </row>
    <row r="579" ht="15.75" customHeight="1">
      <c r="A579" s="92" t="s">
        <v>1790</v>
      </c>
      <c r="B579" s="87" t="s">
        <v>184</v>
      </c>
      <c r="C579" s="88" t="s">
        <v>1791</v>
      </c>
      <c r="D579" s="88" t="s">
        <v>1792</v>
      </c>
      <c r="E579" s="88">
        <v>120.0</v>
      </c>
      <c r="F579" s="89">
        <v>720.0</v>
      </c>
      <c r="G579" s="90" t="s">
        <v>53</v>
      </c>
      <c r="H579" s="91">
        <v>46174.0</v>
      </c>
      <c r="I579" s="92" t="s">
        <v>17</v>
      </c>
      <c r="J579" s="92" t="s">
        <v>54</v>
      </c>
      <c r="K579" s="92" t="s">
        <v>66</v>
      </c>
      <c r="L579" s="92" t="s">
        <v>67</v>
      </c>
      <c r="M579" s="90" t="s">
        <v>112</v>
      </c>
      <c r="N579" s="92" t="s">
        <v>20</v>
      </c>
      <c r="O579" s="92" t="s">
        <v>89</v>
      </c>
      <c r="P579" s="87"/>
      <c r="Q579" s="87" t="s">
        <v>576</v>
      </c>
      <c r="R579" s="93" t="s">
        <v>577</v>
      </c>
      <c r="S579" s="87"/>
      <c r="T579" s="87"/>
      <c r="U579" s="94" t="str">
        <f t="array" ref="U579">IFERROR(INDEX(DFD!$D$2:$D$1048791,MATCH($Q579,DFD!$B$2:$B$1048791,0)),"")</f>
        <v/>
      </c>
      <c r="V579" s="94" t="s">
        <v>280</v>
      </c>
      <c r="W579" s="97" t="str">
        <f t="array" ref="W579">IFERROR(INDEX(DFD!$E$2:$E$1048791,MATCH($Q579,DFD!$B$2:$B$1048791,0)),"")</f>
        <v/>
      </c>
      <c r="X579" s="97" t="str">
        <f t="array" ref="X579">IFERROR(INDEX(DFD!$K$2:$K$1048791,MATCH($Q579,DFD!$B$2:$B$1048791,0)),"")</f>
        <v/>
      </c>
      <c r="Y579" s="97" t="str">
        <f t="array" ref="Y579">IFERROR(INDEX(DFD!$L$2:$L$1048790,MATCH($Q579,DFD!$B$2:$B$1048790,0)),"")</f>
        <v/>
      </c>
      <c r="Z579" s="97">
        <f t="shared" si="13"/>
        <v>45</v>
      </c>
      <c r="AA579" s="87"/>
      <c r="AB579" s="87" t="s">
        <v>78</v>
      </c>
      <c r="AC579" s="87"/>
      <c r="AD579" s="99">
        <v>46043.0</v>
      </c>
      <c r="AE579" s="100">
        <f t="shared" si="8"/>
        <v>1</v>
      </c>
    </row>
    <row r="580" ht="15.75" customHeight="1">
      <c r="A580" s="59" t="s">
        <v>1793</v>
      </c>
      <c r="B580" s="59" t="s">
        <v>94</v>
      </c>
      <c r="C580" s="60" t="s">
        <v>1794</v>
      </c>
      <c r="D580" s="60" t="s">
        <v>51</v>
      </c>
      <c r="E580" s="60">
        <v>1.0</v>
      </c>
      <c r="F580" s="72">
        <v>2347.0</v>
      </c>
      <c r="G580" s="73" t="s">
        <v>53</v>
      </c>
      <c r="H580" s="74">
        <v>46174.0</v>
      </c>
      <c r="I580" s="67" t="s">
        <v>17</v>
      </c>
      <c r="J580" s="67" t="s">
        <v>54</v>
      </c>
      <c r="K580" s="67" t="s">
        <v>66</v>
      </c>
      <c r="L580" s="67" t="s">
        <v>67</v>
      </c>
      <c r="M580" s="73" t="s">
        <v>132</v>
      </c>
      <c r="N580" s="67" t="s">
        <v>5</v>
      </c>
      <c r="O580" s="59" t="s">
        <v>69</v>
      </c>
      <c r="P580" s="59"/>
      <c r="Q580" s="59" t="s">
        <v>1795</v>
      </c>
      <c r="R580" s="76" t="s">
        <v>114</v>
      </c>
      <c r="S580" s="59"/>
      <c r="T580" s="59"/>
      <c r="U580" s="77" t="str">
        <f t="array" ref="U580">IFERROR(INDEX(DFD!$D$2:$D$1048791,MATCH($Q580,DFD!$B$2:$B$1048791,0)),"")</f>
        <v/>
      </c>
      <c r="V580" s="77" t="str">
        <f t="array" ref="V580">IFERROR(INDEX(DFD!$F$2:$F$1048791,MATCH($Q580,DFD!$B$2:$B$1048791,0)),"")</f>
        <v/>
      </c>
      <c r="W580" s="84" t="str">
        <f t="array" ref="W580">IFERROR(INDEX(DFD!$E$2:$E$1048791,MATCH($Q580,DFD!$B$2:$B$1048791,0)),"")</f>
        <v/>
      </c>
      <c r="X580" s="84" t="str">
        <f t="array" ref="X580">IFERROR(INDEX(DFD!$K$2:$K$1048791,MATCH($Q580,DFD!$B$2:$B$1048791,0)),"")</f>
        <v/>
      </c>
      <c r="Y580" s="84" t="str">
        <f t="array" ref="Y580">IFERROR(INDEX(DFD!$L$2:$L$1048790,MATCH($Q580,DFD!$B$2:$B$1048790,0)),"")</f>
        <v/>
      </c>
      <c r="Z580" s="84">
        <f t="shared" si="13"/>
        <v>45</v>
      </c>
      <c r="AA580" s="59"/>
      <c r="AB580" s="59" t="s">
        <v>78</v>
      </c>
      <c r="AC580" s="59"/>
      <c r="AD580" s="85">
        <v>46043.0</v>
      </c>
      <c r="AE580" s="86">
        <f t="shared" si="8"/>
        <v>1</v>
      </c>
    </row>
    <row r="581" ht="15.75" customHeight="1">
      <c r="A581" s="92" t="s">
        <v>1796</v>
      </c>
      <c r="B581" s="87" t="s">
        <v>184</v>
      </c>
      <c r="C581" s="88" t="s">
        <v>1797</v>
      </c>
      <c r="D581" s="88" t="s">
        <v>51</v>
      </c>
      <c r="E581" s="88">
        <v>800.0</v>
      </c>
      <c r="F581" s="89">
        <v>39600.0</v>
      </c>
      <c r="G581" s="90" t="s">
        <v>53</v>
      </c>
      <c r="H581" s="91">
        <v>46266.0</v>
      </c>
      <c r="I581" s="92" t="s">
        <v>17</v>
      </c>
      <c r="J581" s="92" t="s">
        <v>54</v>
      </c>
      <c r="K581" s="92" t="s">
        <v>66</v>
      </c>
      <c r="L581" s="92" t="s">
        <v>67</v>
      </c>
      <c r="M581" s="90" t="s">
        <v>132</v>
      </c>
      <c r="N581" s="92" t="s">
        <v>20</v>
      </c>
      <c r="O581" s="87" t="s">
        <v>69</v>
      </c>
      <c r="P581" s="87"/>
      <c r="Q581" s="87" t="s">
        <v>186</v>
      </c>
      <c r="R581" s="93" t="s">
        <v>187</v>
      </c>
      <c r="S581" s="87"/>
      <c r="T581" s="87"/>
      <c r="U581" s="94" t="str">
        <f t="array" ref="U581">IFERROR(INDEX(DFD!$D$2:$D$1048791,MATCH($Q581,DFD!$B$2:$B$1048791,0)),"")</f>
        <v/>
      </c>
      <c r="V581" s="94" t="str">
        <f t="array" ref="V581">IFERROR(INDEX(DFD!$F$2:$F$1048791,MATCH($Q581,DFD!$B$2:$B$1048791,0)),"")</f>
        <v/>
      </c>
      <c r="W581" s="97" t="str">
        <f t="array" ref="W581">IFERROR(INDEX(DFD!$E$2:$E$1048791,MATCH($Q581,DFD!$B$2:$B$1048791,0)),"")</f>
        <v/>
      </c>
      <c r="X581" s="97" t="str">
        <f t="array" ref="X581">IFERROR(INDEX(DFD!$K$2:$K$1048791,MATCH($Q581,DFD!$B$2:$B$1048791,0)),"")</f>
        <v/>
      </c>
      <c r="Y581" s="97" t="str">
        <f t="array" ref="Y581">IFERROR(INDEX(DFD!$L$2:$L$1048790,MATCH($Q581,DFD!$B$2:$B$1048790,0)),"")</f>
        <v/>
      </c>
      <c r="Z581" s="97">
        <f t="shared" si="13"/>
        <v>45</v>
      </c>
      <c r="AA581" s="87"/>
      <c r="AB581" s="87" t="s">
        <v>78</v>
      </c>
      <c r="AC581" s="87"/>
      <c r="AD581" s="99">
        <v>46043.0</v>
      </c>
      <c r="AE581" s="100">
        <f t="shared" si="8"/>
        <v>1</v>
      </c>
    </row>
    <row r="582" ht="15.75" customHeight="1">
      <c r="A582" s="59"/>
      <c r="B582" s="59" t="s">
        <v>52</v>
      </c>
      <c r="C582" s="60" t="s">
        <v>1798</v>
      </c>
      <c r="D582" s="60" t="s">
        <v>1799</v>
      </c>
      <c r="E582" s="60">
        <v>9680.0</v>
      </c>
      <c r="F582" s="72">
        <v>3003816.6</v>
      </c>
      <c r="G582" s="73" t="s">
        <v>53</v>
      </c>
      <c r="H582" s="74">
        <v>46204.0</v>
      </c>
      <c r="I582" s="67" t="s">
        <v>17</v>
      </c>
      <c r="J582" s="67" t="s">
        <v>54</v>
      </c>
      <c r="K582" s="67" t="s">
        <v>721</v>
      </c>
      <c r="L582" s="67" t="s">
        <v>56</v>
      </c>
      <c r="M582" s="73" t="s">
        <v>112</v>
      </c>
      <c r="N582" s="67" t="s">
        <v>58</v>
      </c>
      <c r="O582" s="67" t="s">
        <v>89</v>
      </c>
      <c r="P582" s="59"/>
      <c r="Q582" s="59" t="s">
        <v>52</v>
      </c>
      <c r="R582" s="76" t="s">
        <v>1798</v>
      </c>
      <c r="S582" s="59"/>
      <c r="T582" s="59"/>
      <c r="U582" s="77"/>
      <c r="V582" s="77"/>
      <c r="W582" s="84"/>
      <c r="X582" s="84"/>
      <c r="Y582" s="84"/>
      <c r="Z582" s="84">
        <f t="shared" si="13"/>
        <v>45</v>
      </c>
      <c r="AA582" s="59"/>
      <c r="AB582" s="59" t="s">
        <v>72</v>
      </c>
      <c r="AC582" s="59"/>
      <c r="AD582" s="85">
        <v>46044.0</v>
      </c>
      <c r="AE582" s="86">
        <f t="shared" si="8"/>
        <v>1</v>
      </c>
    </row>
    <row r="583" ht="15.75" customHeight="1">
      <c r="A583" s="92" t="s">
        <v>1800</v>
      </c>
      <c r="B583" s="87" t="s">
        <v>184</v>
      </c>
      <c r="C583" s="88" t="s">
        <v>1801</v>
      </c>
      <c r="D583" s="88" t="s">
        <v>51</v>
      </c>
      <c r="E583" s="88">
        <v>300.0</v>
      </c>
      <c r="F583" s="89">
        <v>45000.0</v>
      </c>
      <c r="G583" s="90" t="s">
        <v>53</v>
      </c>
      <c r="H583" s="91">
        <v>46266.0</v>
      </c>
      <c r="I583" s="92" t="s">
        <v>17</v>
      </c>
      <c r="J583" s="92" t="s">
        <v>54</v>
      </c>
      <c r="K583" s="92" t="s">
        <v>66</v>
      </c>
      <c r="L583" s="92" t="s">
        <v>67</v>
      </c>
      <c r="M583" s="90" t="s">
        <v>167</v>
      </c>
      <c r="N583" s="92" t="s">
        <v>20</v>
      </c>
      <c r="O583" s="87" t="s">
        <v>69</v>
      </c>
      <c r="P583" s="87"/>
      <c r="Q583" s="87" t="s">
        <v>715</v>
      </c>
      <c r="R583" s="93" t="s">
        <v>269</v>
      </c>
      <c r="S583" s="87"/>
      <c r="T583" s="87"/>
      <c r="U583" s="94" t="str">
        <f t="array" ref="U583">IFERROR(INDEX(DFD!$D$2:$D$1048791,MATCH($Q583,DFD!$B$2:$B$1048791,0)),"")</f>
        <v/>
      </c>
      <c r="V583" s="94" t="str">
        <f t="array" ref="V583">IFERROR(INDEX(DFD!$F$2:$F$1048791,MATCH($Q583,DFD!$B$2:$B$1048791,0)),"")</f>
        <v/>
      </c>
      <c r="W583" s="97" t="str">
        <f t="array" ref="W583">IFERROR(INDEX(DFD!$E$2:$E$1048791,MATCH($Q583,DFD!$B$2:$B$1048791,0)),"")</f>
        <v/>
      </c>
      <c r="X583" s="97" t="str">
        <f t="array" ref="X583">IFERROR(INDEX(DFD!$K$2:$K$1048791,MATCH($Q583,DFD!$B$2:$B$1048791,0)),"")</f>
        <v/>
      </c>
      <c r="Y583" s="97" t="str">
        <f t="array" ref="Y583">IFERROR(INDEX(DFD!$L$2:$L$1048790,MATCH($Q583,DFD!$B$2:$B$1048790,0)),"")</f>
        <v/>
      </c>
      <c r="Z583" s="97">
        <f t="shared" si="13"/>
        <v>45</v>
      </c>
      <c r="AA583" s="87"/>
      <c r="AB583" s="87" t="s">
        <v>78</v>
      </c>
      <c r="AC583" s="87"/>
      <c r="AD583" s="99">
        <v>46043.0</v>
      </c>
      <c r="AE583" s="100">
        <f t="shared" si="8"/>
        <v>1</v>
      </c>
    </row>
    <row r="584" ht="15.75" customHeight="1">
      <c r="A584" s="59" t="s">
        <v>1802</v>
      </c>
      <c r="B584" s="59" t="s">
        <v>162</v>
      </c>
      <c r="C584" s="60" t="s">
        <v>1803</v>
      </c>
      <c r="D584" s="60" t="s">
        <v>51</v>
      </c>
      <c r="E584" s="60">
        <v>1.0</v>
      </c>
      <c r="F584" s="72">
        <v>30000.0</v>
      </c>
      <c r="G584" s="73" t="s">
        <v>53</v>
      </c>
      <c r="H584" s="74">
        <v>46235.0</v>
      </c>
      <c r="I584" s="67" t="s">
        <v>17</v>
      </c>
      <c r="J584" s="67" t="s">
        <v>54</v>
      </c>
      <c r="K584" s="67" t="s">
        <v>66</v>
      </c>
      <c r="L584" s="67" t="s">
        <v>67</v>
      </c>
      <c r="M584" s="73" t="s">
        <v>132</v>
      </c>
      <c r="N584" s="67" t="s">
        <v>20</v>
      </c>
      <c r="O584" s="59" t="s">
        <v>69</v>
      </c>
      <c r="P584" s="59"/>
      <c r="Q584" s="59" t="s">
        <v>1804</v>
      </c>
      <c r="R584" s="76" t="s">
        <v>1776</v>
      </c>
      <c r="S584" s="59"/>
      <c r="T584" s="59"/>
      <c r="U584" s="77" t="str">
        <f t="array" ref="U584">IFERROR(INDEX(DFD!$D$2:$D$1048791,MATCH($Q584,DFD!$B$2:$B$1048791,0)),"")</f>
        <v/>
      </c>
      <c r="V584" s="77" t="str">
        <f t="array" ref="V584">IFERROR(INDEX(DFD!$F$2:$F$1048791,MATCH($Q584,DFD!$B$2:$B$1048791,0)),"")</f>
        <v/>
      </c>
      <c r="W584" s="84" t="str">
        <f t="array" ref="W584">IFERROR(INDEX(DFD!$E$2:$E$1048791,MATCH($Q584,DFD!$B$2:$B$1048791,0)),"")</f>
        <v/>
      </c>
      <c r="X584" s="84" t="str">
        <f t="array" ref="X584">IFERROR(INDEX(DFD!$K$2:$K$1048791,MATCH($Q584,DFD!$B$2:$B$1048791,0)),"")</f>
        <v/>
      </c>
      <c r="Y584" s="84" t="str">
        <f t="array" ref="Y584">IFERROR(INDEX(DFD!$L$2:$L$1048790,MATCH($Q584,DFD!$B$2:$B$1048790,0)),"")</f>
        <v/>
      </c>
      <c r="Z584" s="84">
        <f t="shared" si="13"/>
        <v>45</v>
      </c>
      <c r="AA584" s="59"/>
      <c r="AB584" s="59" t="s">
        <v>78</v>
      </c>
      <c r="AC584" s="59"/>
      <c r="AD584" s="85">
        <v>46043.0</v>
      </c>
      <c r="AE584" s="86">
        <f t="shared" si="8"/>
        <v>1</v>
      </c>
    </row>
    <row r="585" ht="15.75" customHeight="1">
      <c r="A585" s="92" t="s">
        <v>1805</v>
      </c>
      <c r="B585" s="71" t="s">
        <v>98</v>
      </c>
      <c r="C585" s="88" t="s">
        <v>1806</v>
      </c>
      <c r="D585" s="88" t="s">
        <v>1807</v>
      </c>
      <c r="E585" s="88">
        <v>1.0</v>
      </c>
      <c r="F585" s="89">
        <v>2000.0</v>
      </c>
      <c r="G585" s="90" t="s">
        <v>53</v>
      </c>
      <c r="H585" s="91">
        <v>46174.0</v>
      </c>
      <c r="I585" s="92" t="s">
        <v>17</v>
      </c>
      <c r="J585" s="92" t="s">
        <v>54</v>
      </c>
      <c r="K585" s="92" t="s">
        <v>55</v>
      </c>
      <c r="L585" s="92" t="s">
        <v>56</v>
      </c>
      <c r="M585" s="90" t="s">
        <v>57</v>
      </c>
      <c r="N585" s="92" t="s">
        <v>20</v>
      </c>
      <c r="O585" s="92" t="s">
        <v>89</v>
      </c>
      <c r="P585" s="87"/>
      <c r="Q585" s="87" t="s">
        <v>521</v>
      </c>
      <c r="R585" s="93" t="s">
        <v>503</v>
      </c>
      <c r="S585" s="87"/>
      <c r="T585" s="87"/>
      <c r="U585" s="94" t="str">
        <f t="array" ref="U585">IFERROR(INDEX(DFD!$D$2:$D$1048791,MATCH($Q585,DFD!$B$2:$B$1048791,0)),"")</f>
        <v/>
      </c>
      <c r="V585" s="94" t="s">
        <v>280</v>
      </c>
      <c r="W585" s="97" t="str">
        <f t="array" ref="W585">IFERROR(INDEX(DFD!$E$2:$E$1048791,MATCH($Q585,DFD!$B$2:$B$1048791,0)),"")</f>
        <v/>
      </c>
      <c r="X585" s="97" t="str">
        <f t="array" ref="X585">IFERROR(INDEX(DFD!$K$2:$K$1048791,MATCH($Q585,DFD!$B$2:$B$1048791,0)),"")</f>
        <v/>
      </c>
      <c r="Y585" s="97" t="str">
        <f t="array" ref="Y585">IFERROR(INDEX(DFD!$L$2:$L$1048790,MATCH($Q585,DFD!$B$2:$B$1048790,0)),"")</f>
        <v/>
      </c>
      <c r="Z585" s="97">
        <f t="shared" si="13"/>
        <v>45</v>
      </c>
      <c r="AA585" s="87"/>
      <c r="AB585" s="87" t="s">
        <v>78</v>
      </c>
      <c r="AC585" s="87"/>
      <c r="AD585" s="99">
        <v>46043.0</v>
      </c>
      <c r="AE585" s="100">
        <f t="shared" si="8"/>
        <v>1</v>
      </c>
    </row>
    <row r="586" ht="15.75" customHeight="1">
      <c r="A586" s="67" t="s">
        <v>1808</v>
      </c>
      <c r="B586" s="59" t="s">
        <v>464</v>
      </c>
      <c r="C586" s="60" t="s">
        <v>1809</v>
      </c>
      <c r="D586" s="60" t="s">
        <v>51</v>
      </c>
      <c r="E586" s="60">
        <v>1.0</v>
      </c>
      <c r="F586" s="72">
        <v>120000.0</v>
      </c>
      <c r="G586" s="73" t="s">
        <v>53</v>
      </c>
      <c r="H586" s="74">
        <v>46266.0</v>
      </c>
      <c r="I586" s="67" t="s">
        <v>17</v>
      </c>
      <c r="J586" s="67" t="s">
        <v>54</v>
      </c>
      <c r="K586" s="67" t="s">
        <v>55</v>
      </c>
      <c r="L586" s="67" t="s">
        <v>56</v>
      </c>
      <c r="M586" s="73" t="s">
        <v>68</v>
      </c>
      <c r="N586" s="67" t="s">
        <v>20</v>
      </c>
      <c r="O586" s="59" t="s">
        <v>69</v>
      </c>
      <c r="P586" s="59"/>
      <c r="Q586" s="59" t="s">
        <v>467</v>
      </c>
      <c r="R586" s="76" t="s">
        <v>1810</v>
      </c>
      <c r="S586" s="59"/>
      <c r="T586" s="59"/>
      <c r="U586" s="67" t="s">
        <v>1811</v>
      </c>
      <c r="V586" s="77" t="str">
        <f t="array" ref="V586">IFERROR(INDEX(DFD!$F$2:$F$1048791,MATCH($Q586,DFD!$B$2:$B$1048791,0)),"")</f>
        <v/>
      </c>
      <c r="W586" s="84" t="str">
        <f t="array" ref="W586">IFERROR(INDEX(DFD!$E$2:$E$1048791,MATCH($Q586,DFD!$B$2:$B$1048791,0)),"")</f>
        <v/>
      </c>
      <c r="X586" s="84" t="str">
        <f t="array" ref="X586">IFERROR(INDEX(DFD!$K$2:$K$1048791,MATCH($Q586,DFD!$B$2:$B$1048791,0)),"")</f>
        <v/>
      </c>
      <c r="Y586" s="84" t="str">
        <f t="array" ref="Y586">IFERROR(INDEX(DFD!$L$2:$L$1048790,MATCH($Q586,DFD!$B$2:$B$1048790,0)),"")</f>
        <v/>
      </c>
      <c r="Z586" s="84">
        <f t="shared" si="13"/>
        <v>45</v>
      </c>
      <c r="AA586" s="59"/>
      <c r="AB586" s="59" t="s">
        <v>288</v>
      </c>
      <c r="AC586" s="59"/>
      <c r="AD586" s="85">
        <v>46043.0</v>
      </c>
      <c r="AE586" s="86">
        <f t="shared" si="8"/>
        <v>1</v>
      </c>
    </row>
    <row r="587" ht="15.75" customHeight="1">
      <c r="A587" s="87" t="s">
        <v>1812</v>
      </c>
      <c r="B587" s="87" t="s">
        <v>464</v>
      </c>
      <c r="C587" s="116" t="s">
        <v>1813</v>
      </c>
      <c r="D587" s="88" t="s">
        <v>51</v>
      </c>
      <c r="E587" s="88">
        <v>1.0</v>
      </c>
      <c r="F587" s="89">
        <v>1100000.0</v>
      </c>
      <c r="G587" s="90" t="s">
        <v>437</v>
      </c>
      <c r="H587" s="91">
        <v>46266.0</v>
      </c>
      <c r="I587" s="92" t="s">
        <v>17</v>
      </c>
      <c r="J587" s="92" t="s">
        <v>54</v>
      </c>
      <c r="K587" s="92" t="s">
        <v>55</v>
      </c>
      <c r="L587" s="92" t="s">
        <v>56</v>
      </c>
      <c r="M587" s="90" t="s">
        <v>1321</v>
      </c>
      <c r="N587" s="92" t="s">
        <v>5</v>
      </c>
      <c r="O587" s="87" t="s">
        <v>69</v>
      </c>
      <c r="P587" s="87"/>
      <c r="Q587" s="87" t="s">
        <v>1814</v>
      </c>
      <c r="R587" s="93" t="s">
        <v>1810</v>
      </c>
      <c r="S587" s="87"/>
      <c r="T587" s="87"/>
      <c r="U587" s="94" t="s">
        <v>1815</v>
      </c>
      <c r="V587" s="94" t="s">
        <v>280</v>
      </c>
      <c r="W587" s="97">
        <v>46027.0</v>
      </c>
      <c r="X587" s="94" t="s">
        <v>1816</v>
      </c>
      <c r="Y587" s="97">
        <v>46029.0</v>
      </c>
      <c r="Z587" s="97">
        <f t="shared" si="13"/>
        <v>46074</v>
      </c>
      <c r="AA587" s="87"/>
      <c r="AB587" s="87" t="s">
        <v>288</v>
      </c>
      <c r="AC587" s="87"/>
      <c r="AD587" s="99">
        <v>46043.0</v>
      </c>
      <c r="AE587" s="100">
        <f t="shared" si="8"/>
        <v>1</v>
      </c>
    </row>
    <row r="588" ht="15.75" customHeight="1">
      <c r="A588" s="67" t="s">
        <v>1817</v>
      </c>
      <c r="B588" s="67" t="s">
        <v>464</v>
      </c>
      <c r="C588" s="81" t="s">
        <v>1813</v>
      </c>
      <c r="D588" s="81" t="s">
        <v>51</v>
      </c>
      <c r="E588" s="81">
        <v>1.0</v>
      </c>
      <c r="F588" s="101">
        <v>1202126.0</v>
      </c>
      <c r="G588" s="73" t="s">
        <v>437</v>
      </c>
      <c r="H588" s="83">
        <v>46266.0</v>
      </c>
      <c r="I588" s="67" t="s">
        <v>17</v>
      </c>
      <c r="J588" s="67" t="s">
        <v>54</v>
      </c>
      <c r="K588" s="67" t="s">
        <v>55</v>
      </c>
      <c r="L588" s="67" t="s">
        <v>56</v>
      </c>
      <c r="M588" s="73" t="s">
        <v>1321</v>
      </c>
      <c r="N588" s="67" t="s">
        <v>20</v>
      </c>
      <c r="O588" s="67" t="s">
        <v>89</v>
      </c>
      <c r="P588" s="59"/>
      <c r="Q588" s="59" t="s">
        <v>467</v>
      </c>
      <c r="R588" s="76" t="s">
        <v>1810</v>
      </c>
      <c r="S588" s="59"/>
      <c r="T588" s="59"/>
      <c r="U588" s="77"/>
      <c r="V588" s="77" t="str">
        <f t="array" ref="V588">IFERROR(INDEX(DFD!$F$2:$F$1048791,MATCH($Q588,DFD!$B$2:$B$1048791,0)),"")</f>
        <v/>
      </c>
      <c r="W588" s="84" t="str">
        <f t="array" ref="W588">IFERROR(INDEX(DFD!$E$2:$E$1048791,MATCH($Q588,DFD!$B$2:$B$1048791,0)),"")</f>
        <v/>
      </c>
      <c r="X588" s="84" t="str">
        <f t="array" ref="X588">IFERROR(INDEX(DFD!$K$2:$K$1048791,MATCH($Q588,DFD!$B$2:$B$1048791,0)),"")</f>
        <v/>
      </c>
      <c r="Y588" s="84" t="str">
        <f t="array" ref="Y588">IFERROR(INDEX(DFD!$L$2:$L$1048790,MATCH($Q588,DFD!$B$2:$B$1048790,0)),"")</f>
        <v/>
      </c>
      <c r="Z588" s="84">
        <f t="shared" si="13"/>
        <v>45</v>
      </c>
      <c r="AA588" s="59"/>
      <c r="AB588" s="59" t="s">
        <v>288</v>
      </c>
      <c r="AC588" s="59"/>
      <c r="AD588" s="85">
        <v>46043.0</v>
      </c>
      <c r="AE588" s="86">
        <f t="shared" si="8"/>
        <v>1</v>
      </c>
    </row>
    <row r="589" ht="15.75" customHeight="1">
      <c r="A589" s="92" t="s">
        <v>1818</v>
      </c>
      <c r="B589" s="87" t="s">
        <v>148</v>
      </c>
      <c r="C589" s="88" t="s">
        <v>1819</v>
      </c>
      <c r="D589" s="88" t="s">
        <v>51</v>
      </c>
      <c r="E589" s="88">
        <v>2.0</v>
      </c>
      <c r="F589" s="89">
        <v>560.0</v>
      </c>
      <c r="G589" s="90" t="s">
        <v>53</v>
      </c>
      <c r="H589" s="91">
        <v>46174.0</v>
      </c>
      <c r="I589" s="92" t="s">
        <v>17</v>
      </c>
      <c r="J589" s="92" t="s">
        <v>54</v>
      </c>
      <c r="K589" s="92" t="s">
        <v>66</v>
      </c>
      <c r="L589" s="92" t="s">
        <v>56</v>
      </c>
      <c r="M589" s="90" t="s">
        <v>112</v>
      </c>
      <c r="N589" s="92" t="s">
        <v>20</v>
      </c>
      <c r="O589" s="87" t="s">
        <v>69</v>
      </c>
      <c r="P589" s="87"/>
      <c r="Q589" s="87" t="s">
        <v>1820</v>
      </c>
      <c r="R589" s="93" t="s">
        <v>1027</v>
      </c>
      <c r="S589" s="87"/>
      <c r="T589" s="87"/>
      <c r="U589" s="94" t="str">
        <f t="array" ref="U589">IFERROR(INDEX(DFD!$D$2:$D$1048791,MATCH($Q589,DFD!$B$2:$B$1048791,0)),"")</f>
        <v/>
      </c>
      <c r="V589" s="94" t="str">
        <f t="array" ref="V589">IFERROR(INDEX(DFD!$F$2:$F$1048791,MATCH($Q589,DFD!$B$2:$B$1048791,0)),"")</f>
        <v/>
      </c>
      <c r="W589" s="97" t="str">
        <f t="array" ref="W589">IFERROR(INDEX(DFD!$E$2:$E$1048791,MATCH($Q589,DFD!$B$2:$B$1048791,0)),"")</f>
        <v/>
      </c>
      <c r="X589" s="97" t="str">
        <f t="array" ref="X589">IFERROR(INDEX(DFD!$K$2:$K$1048791,MATCH($Q589,DFD!$B$2:$B$1048791,0)),"")</f>
        <v/>
      </c>
      <c r="Y589" s="97" t="str">
        <f t="array" ref="Y589">IFERROR(INDEX(DFD!$L$2:$L$1048790,MATCH($Q589,DFD!$B$2:$B$1048790,0)),"")</f>
        <v/>
      </c>
      <c r="Z589" s="97">
        <f t="shared" si="13"/>
        <v>45</v>
      </c>
      <c r="AA589" s="87"/>
      <c r="AB589" s="87" t="s">
        <v>78</v>
      </c>
      <c r="AC589" s="87"/>
      <c r="AD589" s="99">
        <v>46043.0</v>
      </c>
      <c r="AE589" s="100">
        <f t="shared" si="8"/>
        <v>1</v>
      </c>
    </row>
    <row r="590" ht="15.75" customHeight="1">
      <c r="A590" s="67" t="s">
        <v>1821</v>
      </c>
      <c r="B590" s="59" t="s">
        <v>148</v>
      </c>
      <c r="C590" s="60" t="s">
        <v>1822</v>
      </c>
      <c r="D590" s="60" t="s">
        <v>51</v>
      </c>
      <c r="E590" s="60">
        <v>1.0</v>
      </c>
      <c r="F590" s="72">
        <v>450.0</v>
      </c>
      <c r="G590" s="73" t="s">
        <v>53</v>
      </c>
      <c r="H590" s="74">
        <v>46174.0</v>
      </c>
      <c r="I590" s="67" t="s">
        <v>17</v>
      </c>
      <c r="J590" s="67" t="s">
        <v>54</v>
      </c>
      <c r="K590" s="67" t="s">
        <v>66</v>
      </c>
      <c r="L590" s="67" t="s">
        <v>56</v>
      </c>
      <c r="M590" s="73" t="s">
        <v>117</v>
      </c>
      <c r="N590" s="67" t="s">
        <v>20</v>
      </c>
      <c r="O590" s="59" t="s">
        <v>69</v>
      </c>
      <c r="P590" s="59"/>
      <c r="Q590" s="59" t="s">
        <v>1820</v>
      </c>
      <c r="R590" s="76" t="s">
        <v>1027</v>
      </c>
      <c r="S590" s="59"/>
      <c r="T590" s="59"/>
      <c r="U590" s="77" t="str">
        <f t="array" ref="U590">IFERROR(INDEX(DFD!$D$2:$D$1048791,MATCH($Q590,DFD!$B$2:$B$1048791,0)),"")</f>
        <v/>
      </c>
      <c r="V590" s="77" t="str">
        <f t="array" ref="V590">IFERROR(INDEX(DFD!$F$2:$F$1048791,MATCH($Q590,DFD!$B$2:$B$1048791,0)),"")</f>
        <v/>
      </c>
      <c r="W590" s="84" t="str">
        <f t="array" ref="W590">IFERROR(INDEX(DFD!$E$2:$E$1048791,MATCH($Q590,DFD!$B$2:$B$1048791,0)),"")</f>
        <v/>
      </c>
      <c r="X590" s="84" t="str">
        <f t="array" ref="X590">IFERROR(INDEX(DFD!$K$2:$K$1048791,MATCH($Q590,DFD!$B$2:$B$1048791,0)),"")</f>
        <v/>
      </c>
      <c r="Y590" s="84" t="str">
        <f t="array" ref="Y590">IFERROR(INDEX(DFD!$L$2:$L$1048790,MATCH($Q590,DFD!$B$2:$B$1048790,0)),"")</f>
        <v/>
      </c>
      <c r="Z590" s="84">
        <f t="shared" si="13"/>
        <v>45</v>
      </c>
      <c r="AA590" s="59"/>
      <c r="AB590" s="59" t="s">
        <v>78</v>
      </c>
      <c r="AC590" s="59"/>
      <c r="AD590" s="85">
        <v>46043.0</v>
      </c>
      <c r="AE590" s="86">
        <f t="shared" si="8"/>
        <v>1</v>
      </c>
    </row>
    <row r="591" ht="15.75" customHeight="1">
      <c r="A591" s="92" t="s">
        <v>1823</v>
      </c>
      <c r="B591" s="92" t="s">
        <v>148</v>
      </c>
      <c r="C591" s="88" t="s">
        <v>1822</v>
      </c>
      <c r="D591" s="116" t="s">
        <v>51</v>
      </c>
      <c r="E591" s="116">
        <v>1.0</v>
      </c>
      <c r="F591" s="137">
        <v>450.0</v>
      </c>
      <c r="G591" s="90" t="s">
        <v>53</v>
      </c>
      <c r="H591" s="118">
        <v>46174.0</v>
      </c>
      <c r="I591" s="92" t="s">
        <v>17</v>
      </c>
      <c r="J591" s="92" t="s">
        <v>54</v>
      </c>
      <c r="K591" s="92" t="s">
        <v>66</v>
      </c>
      <c r="L591" s="92" t="s">
        <v>56</v>
      </c>
      <c r="M591" s="90" t="s">
        <v>112</v>
      </c>
      <c r="N591" s="92" t="s">
        <v>20</v>
      </c>
      <c r="O591" s="92" t="s">
        <v>89</v>
      </c>
      <c r="P591" s="87"/>
      <c r="Q591" s="87" t="s">
        <v>1820</v>
      </c>
      <c r="R591" s="93" t="s">
        <v>1027</v>
      </c>
      <c r="S591" s="87"/>
      <c r="T591" s="87"/>
      <c r="U591" s="94" t="str">
        <f t="array" ref="U591">IFERROR(INDEX(DFD!$D$2:$D$1048791,MATCH($Q591,DFD!$B$2:$B$1048791,0)),"")</f>
        <v/>
      </c>
      <c r="V591" s="94" t="str">
        <f t="array" ref="V591">IFERROR(INDEX(DFD!$F$2:$F$1048791,MATCH($Q591,DFD!$B$2:$B$1048791,0)),"")</f>
        <v/>
      </c>
      <c r="W591" s="97" t="str">
        <f t="array" ref="W591">IFERROR(INDEX(DFD!$E$2:$E$1048791,MATCH($Q591,DFD!$B$2:$B$1048791,0)),"")</f>
        <v/>
      </c>
      <c r="X591" s="97" t="str">
        <f t="array" ref="X591">IFERROR(INDEX(DFD!$K$2:$K$1048791,MATCH($Q591,DFD!$B$2:$B$1048791,0)),"")</f>
        <v/>
      </c>
      <c r="Y591" s="97" t="str">
        <f t="array" ref="Y591">IFERROR(INDEX(DFD!$L$2:$L$1048790,MATCH($Q591,DFD!$B$2:$B$1048790,0)),"")</f>
        <v/>
      </c>
      <c r="Z591" s="97">
        <f t="shared" si="13"/>
        <v>45</v>
      </c>
      <c r="AA591" s="87"/>
      <c r="AB591" s="87" t="s">
        <v>78</v>
      </c>
      <c r="AC591" s="87"/>
      <c r="AD591" s="99">
        <v>46043.0</v>
      </c>
      <c r="AE591" s="100">
        <f t="shared" si="8"/>
        <v>1</v>
      </c>
    </row>
    <row r="592" ht="15.75" customHeight="1">
      <c r="A592" s="67" t="s">
        <v>1824</v>
      </c>
      <c r="B592" s="59" t="s">
        <v>91</v>
      </c>
      <c r="C592" s="60" t="s">
        <v>1825</v>
      </c>
      <c r="D592" s="60" t="s">
        <v>51</v>
      </c>
      <c r="E592" s="60">
        <v>20.0</v>
      </c>
      <c r="F592" s="72">
        <v>400.0</v>
      </c>
      <c r="G592" s="73" t="s">
        <v>53</v>
      </c>
      <c r="H592" s="74">
        <v>46174.0</v>
      </c>
      <c r="I592" s="67" t="s">
        <v>17</v>
      </c>
      <c r="J592" s="67" t="s">
        <v>54</v>
      </c>
      <c r="K592" s="67" t="s">
        <v>66</v>
      </c>
      <c r="L592" s="67" t="s">
        <v>56</v>
      </c>
      <c r="M592" s="73" t="s">
        <v>57</v>
      </c>
      <c r="N592" s="67" t="s">
        <v>20</v>
      </c>
      <c r="O592" s="59" t="s">
        <v>69</v>
      </c>
      <c r="P592" s="59"/>
      <c r="Q592" s="59" t="s">
        <v>113</v>
      </c>
      <c r="R592" s="76" t="s">
        <v>616</v>
      </c>
      <c r="S592" s="59"/>
      <c r="T592" s="59"/>
      <c r="U592" s="77" t="str">
        <f t="array" ref="U592">IFERROR(INDEX(DFD!$D$2:$D$1048791,MATCH($Q592,DFD!$B$2:$B$1048791,0)),"")</f>
        <v/>
      </c>
      <c r="V592" s="77" t="str">
        <f t="array" ref="V592">IFERROR(INDEX(DFD!$F$2:$F$1048791,MATCH($Q592,DFD!$B$2:$B$1048791,0)),"")</f>
        <v/>
      </c>
      <c r="W592" s="84" t="str">
        <f t="array" ref="W592">IFERROR(INDEX(DFD!$E$2:$E$1048791,MATCH($Q592,DFD!$B$2:$B$1048791,0)),"")</f>
        <v/>
      </c>
      <c r="X592" s="84" t="str">
        <f t="array" ref="X592">IFERROR(INDEX(DFD!$K$2:$K$1048791,MATCH($Q592,DFD!$B$2:$B$1048791,0)),"")</f>
        <v/>
      </c>
      <c r="Y592" s="84" t="str">
        <f t="array" ref="Y592">IFERROR(INDEX(DFD!$L$2:$L$1048790,MATCH($Q592,DFD!$B$2:$B$1048790,0)),"")</f>
        <v/>
      </c>
      <c r="Z592" s="84">
        <f t="shared" si="13"/>
        <v>45</v>
      </c>
      <c r="AA592" s="59"/>
      <c r="AB592" s="59" t="s">
        <v>78</v>
      </c>
      <c r="AC592" s="59"/>
      <c r="AD592" s="85">
        <v>46043.0</v>
      </c>
      <c r="AE592" s="86">
        <f t="shared" si="8"/>
        <v>1</v>
      </c>
    </row>
    <row r="593" ht="15.75" customHeight="1">
      <c r="A593" s="87" t="s">
        <v>1826</v>
      </c>
      <c r="B593" s="92" t="s">
        <v>361</v>
      </c>
      <c r="C593" s="88" t="s">
        <v>1827</v>
      </c>
      <c r="D593" s="116" t="s">
        <v>51</v>
      </c>
      <c r="E593" s="116">
        <v>12.0</v>
      </c>
      <c r="F593" s="137">
        <v>12516.0</v>
      </c>
      <c r="G593" s="90" t="s">
        <v>53</v>
      </c>
      <c r="H593" s="118">
        <v>46235.0</v>
      </c>
      <c r="I593" s="92" t="s">
        <v>17</v>
      </c>
      <c r="J593" s="92" t="s">
        <v>54</v>
      </c>
      <c r="K593" s="92" t="s">
        <v>66</v>
      </c>
      <c r="L593" s="92" t="s">
        <v>56</v>
      </c>
      <c r="M593" s="90" t="s">
        <v>104</v>
      </c>
      <c r="N593" s="92" t="s">
        <v>58</v>
      </c>
      <c r="O593" s="87" t="s">
        <v>69</v>
      </c>
      <c r="P593" s="87"/>
      <c r="Q593" s="87" t="s">
        <v>1828</v>
      </c>
      <c r="R593" s="93" t="s">
        <v>71</v>
      </c>
      <c r="S593" s="87"/>
      <c r="T593" s="87"/>
      <c r="U593" s="94" t="str">
        <f t="array" ref="U593">IFERROR(INDEX(DFD!$D$2:$D$1048791,MATCH($Q593,DFD!$B$2:$B$1048791,0)),"")</f>
        <v/>
      </c>
      <c r="V593" s="94" t="str">
        <f t="array" ref="V593">IFERROR(INDEX(DFD!$F$2:$F$1048791,MATCH($Q593,DFD!$B$2:$B$1048791,0)),"")</f>
        <v/>
      </c>
      <c r="W593" s="97" t="str">
        <f t="array" ref="W593">IFERROR(INDEX(DFD!$E$2:$E$1048791,MATCH($Q593,DFD!$B$2:$B$1048791,0)),"")</f>
        <v/>
      </c>
      <c r="X593" s="97" t="str">
        <f t="array" ref="X593">IFERROR(INDEX(DFD!$K$2:$K$1048791,MATCH($Q593,DFD!$B$2:$B$1048791,0)),"")</f>
        <v/>
      </c>
      <c r="Y593" s="97" t="str">
        <f t="array" ref="Y593">IFERROR(INDEX(DFD!$L$2:$L$1048790,MATCH($Q593,DFD!$B$2:$B$1048790,0)),"")</f>
        <v/>
      </c>
      <c r="Z593" s="97">
        <f t="shared" si="13"/>
        <v>45</v>
      </c>
      <c r="AA593" s="87"/>
      <c r="AB593" s="87" t="s">
        <v>78</v>
      </c>
      <c r="AC593" s="87"/>
      <c r="AD593" s="99">
        <v>46043.0</v>
      </c>
      <c r="AE593" s="100">
        <f t="shared" si="8"/>
        <v>1</v>
      </c>
    </row>
    <row r="594" ht="15.75" customHeight="1">
      <c r="A594" s="59" t="s">
        <v>1829</v>
      </c>
      <c r="B594" s="59" t="s">
        <v>148</v>
      </c>
      <c r="C594" s="60" t="s">
        <v>1830</v>
      </c>
      <c r="D594" s="60" t="s">
        <v>51</v>
      </c>
      <c r="E594" s="60">
        <v>4.0</v>
      </c>
      <c r="F594" s="72">
        <v>320.0</v>
      </c>
      <c r="G594" s="73" t="s">
        <v>53</v>
      </c>
      <c r="H594" s="74">
        <v>46174.0</v>
      </c>
      <c r="I594" s="67" t="s">
        <v>17</v>
      </c>
      <c r="J594" s="67" t="s">
        <v>54</v>
      </c>
      <c r="K594" s="67" t="s">
        <v>66</v>
      </c>
      <c r="L594" s="67" t="s">
        <v>67</v>
      </c>
      <c r="M594" s="73" t="s">
        <v>68</v>
      </c>
      <c r="N594" s="67" t="s">
        <v>5</v>
      </c>
      <c r="O594" s="67" t="s">
        <v>89</v>
      </c>
      <c r="P594" s="59"/>
      <c r="Q594" s="59" t="s">
        <v>576</v>
      </c>
      <c r="R594" s="76" t="s">
        <v>577</v>
      </c>
      <c r="S594" s="59"/>
      <c r="T594" s="59"/>
      <c r="U594" s="77" t="str">
        <f t="array" ref="U594">IFERROR(INDEX(DFD!$D$2:$D$1048791,MATCH($Q594,DFD!$B$2:$B$1048791,0)),"")</f>
        <v/>
      </c>
      <c r="V594" s="77" t="s">
        <v>280</v>
      </c>
      <c r="W594" s="84" t="str">
        <f t="array" ref="W594">IFERROR(INDEX(DFD!$E$2:$E$1048791,MATCH($Q594,DFD!$B$2:$B$1048791,0)),"")</f>
        <v/>
      </c>
      <c r="X594" s="84" t="str">
        <f t="array" ref="X594">IFERROR(INDEX(DFD!$K$2:$K$1048791,MATCH($Q594,DFD!$B$2:$B$1048791,0)),"")</f>
        <v/>
      </c>
      <c r="Y594" s="84" t="str">
        <f t="array" ref="Y594">IFERROR(INDEX(DFD!$L$2:$L$1048790,MATCH($Q594,DFD!$B$2:$B$1048790,0)),"")</f>
        <v/>
      </c>
      <c r="Z594" s="84">
        <f t="shared" si="13"/>
        <v>45</v>
      </c>
      <c r="AA594" s="59"/>
      <c r="AB594" s="59" t="s">
        <v>78</v>
      </c>
      <c r="AC594" s="59"/>
      <c r="AD594" s="85">
        <v>46043.0</v>
      </c>
      <c r="AE594" s="86">
        <f t="shared" si="8"/>
        <v>1</v>
      </c>
    </row>
    <row r="595" ht="15.75" customHeight="1">
      <c r="A595" s="87" t="s">
        <v>1831</v>
      </c>
      <c r="B595" s="87" t="s">
        <v>107</v>
      </c>
      <c r="C595" s="88" t="s">
        <v>1832</v>
      </c>
      <c r="D595" s="88" t="s">
        <v>51</v>
      </c>
      <c r="E595" s="88">
        <v>3.0</v>
      </c>
      <c r="F595" s="89">
        <v>150.0</v>
      </c>
      <c r="G595" s="90" t="s">
        <v>53</v>
      </c>
      <c r="H595" s="91">
        <v>46143.0</v>
      </c>
      <c r="I595" s="92" t="s">
        <v>17</v>
      </c>
      <c r="J595" s="92" t="s">
        <v>54</v>
      </c>
      <c r="K595" s="92" t="s">
        <v>66</v>
      </c>
      <c r="L595" s="92" t="s">
        <v>67</v>
      </c>
      <c r="M595" s="90" t="s">
        <v>117</v>
      </c>
      <c r="N595" s="92" t="s">
        <v>5</v>
      </c>
      <c r="O595" s="87" t="s">
        <v>69</v>
      </c>
      <c r="P595" s="87"/>
      <c r="Q595" s="87" t="s">
        <v>576</v>
      </c>
      <c r="R595" s="93" t="s">
        <v>577</v>
      </c>
      <c r="S595" s="87"/>
      <c r="T595" s="87"/>
      <c r="U595" s="94" t="str">
        <f t="array" ref="U595">IFERROR(INDEX(DFD!$D$2:$D$1048791,MATCH($Q595,DFD!$B$2:$B$1048791,0)),"")</f>
        <v/>
      </c>
      <c r="V595" s="94" t="s">
        <v>280</v>
      </c>
      <c r="W595" s="97" t="str">
        <f t="array" ref="W595">IFERROR(INDEX(DFD!$E$2:$E$1048791,MATCH($Q595,DFD!$B$2:$B$1048791,0)),"")</f>
        <v/>
      </c>
      <c r="X595" s="97" t="str">
        <f t="array" ref="X595">IFERROR(INDEX(DFD!$K$2:$K$1048791,MATCH($Q595,DFD!$B$2:$B$1048791,0)),"")</f>
        <v/>
      </c>
      <c r="Y595" s="97" t="str">
        <f t="array" ref="Y595">IFERROR(INDEX(DFD!$L$2:$L$1048790,MATCH($Q595,DFD!$B$2:$B$1048790,0)),"")</f>
        <v/>
      </c>
      <c r="Z595" s="97">
        <f t="shared" si="13"/>
        <v>45</v>
      </c>
      <c r="AA595" s="87"/>
      <c r="AB595" s="87" t="s">
        <v>78</v>
      </c>
      <c r="AC595" s="87"/>
      <c r="AD595" s="99">
        <v>46043.0</v>
      </c>
      <c r="AE595" s="100">
        <f t="shared" si="8"/>
        <v>1</v>
      </c>
    </row>
    <row r="596" ht="15.75" customHeight="1">
      <c r="A596" s="67" t="s">
        <v>1833</v>
      </c>
      <c r="B596" s="59" t="s">
        <v>184</v>
      </c>
      <c r="C596" s="60" t="s">
        <v>1834</v>
      </c>
      <c r="D596" s="60" t="s">
        <v>51</v>
      </c>
      <c r="E596" s="60">
        <v>30.0</v>
      </c>
      <c r="F596" s="72">
        <v>750.0</v>
      </c>
      <c r="G596" s="73" t="s">
        <v>53</v>
      </c>
      <c r="H596" s="74">
        <v>46174.0</v>
      </c>
      <c r="I596" s="67" t="s">
        <v>17</v>
      </c>
      <c r="J596" s="67" t="s">
        <v>54</v>
      </c>
      <c r="K596" s="67" t="s">
        <v>66</v>
      </c>
      <c r="L596" s="67" t="s">
        <v>67</v>
      </c>
      <c r="M596" s="73" t="s">
        <v>57</v>
      </c>
      <c r="N596" s="67" t="s">
        <v>20</v>
      </c>
      <c r="O596" s="59" t="s">
        <v>69</v>
      </c>
      <c r="P596" s="59"/>
      <c r="Q596" s="59" t="s">
        <v>576</v>
      </c>
      <c r="R596" s="76" t="s">
        <v>577</v>
      </c>
      <c r="S596" s="59"/>
      <c r="T596" s="59"/>
      <c r="U596" s="77" t="str">
        <f t="array" ref="U596">IFERROR(INDEX(DFD!$D$2:$D$1048791,MATCH($Q596,DFD!$B$2:$B$1048791,0)),"")</f>
        <v/>
      </c>
      <c r="V596" s="77" t="s">
        <v>280</v>
      </c>
      <c r="W596" s="84" t="str">
        <f t="array" ref="W596">IFERROR(INDEX(DFD!$E$2:$E$1048791,MATCH($Q596,DFD!$B$2:$B$1048791,0)),"")</f>
        <v/>
      </c>
      <c r="X596" s="84" t="str">
        <f t="array" ref="X596">IFERROR(INDEX(DFD!$K$2:$K$1048791,MATCH($Q596,DFD!$B$2:$B$1048791,0)),"")</f>
        <v/>
      </c>
      <c r="Y596" s="84" t="str">
        <f t="array" ref="Y596">IFERROR(INDEX(DFD!$L$2:$L$1048790,MATCH($Q596,DFD!$B$2:$B$1048790,0)),"")</f>
        <v/>
      </c>
      <c r="Z596" s="84">
        <f t="shared" si="13"/>
        <v>45</v>
      </c>
      <c r="AA596" s="59"/>
      <c r="AB596" s="59" t="s">
        <v>78</v>
      </c>
      <c r="AC596" s="59"/>
      <c r="AD596" s="85">
        <v>46043.0</v>
      </c>
      <c r="AE596" s="86">
        <f t="shared" si="8"/>
        <v>1</v>
      </c>
    </row>
    <row r="597" ht="15.75" customHeight="1">
      <c r="A597" s="92" t="s">
        <v>1835</v>
      </c>
      <c r="B597" s="87" t="s">
        <v>184</v>
      </c>
      <c r="C597" s="88" t="s">
        <v>1836</v>
      </c>
      <c r="D597" s="88" t="s">
        <v>51</v>
      </c>
      <c r="E597" s="88">
        <v>30.0</v>
      </c>
      <c r="F597" s="89">
        <v>405.0</v>
      </c>
      <c r="G597" s="90" t="s">
        <v>53</v>
      </c>
      <c r="H597" s="91">
        <v>46174.0</v>
      </c>
      <c r="I597" s="92" t="s">
        <v>17</v>
      </c>
      <c r="J597" s="92" t="s">
        <v>54</v>
      </c>
      <c r="K597" s="92" t="s">
        <v>66</v>
      </c>
      <c r="L597" s="92" t="s">
        <v>67</v>
      </c>
      <c r="M597" s="90" t="s">
        <v>57</v>
      </c>
      <c r="N597" s="92" t="s">
        <v>20</v>
      </c>
      <c r="O597" s="92" t="s">
        <v>89</v>
      </c>
      <c r="P597" s="87"/>
      <c r="Q597" s="87" t="s">
        <v>576</v>
      </c>
      <c r="R597" s="93" t="s">
        <v>577</v>
      </c>
      <c r="S597" s="87"/>
      <c r="T597" s="87"/>
      <c r="U597" s="94" t="str">
        <f t="array" ref="U597">IFERROR(INDEX(DFD!$D$2:$D$1048791,MATCH($Q597,DFD!$B$2:$B$1048791,0)),"")</f>
        <v/>
      </c>
      <c r="V597" s="94" t="s">
        <v>280</v>
      </c>
      <c r="W597" s="97" t="str">
        <f t="array" ref="W597">IFERROR(INDEX(DFD!$E$2:$E$1048791,MATCH($Q597,DFD!$B$2:$B$1048791,0)),"")</f>
        <v/>
      </c>
      <c r="X597" s="97" t="str">
        <f t="array" ref="X597">IFERROR(INDEX(DFD!$K$2:$K$1048791,MATCH($Q597,DFD!$B$2:$B$1048791,0)),"")</f>
        <v/>
      </c>
      <c r="Y597" s="97" t="str">
        <f t="array" ref="Y597">IFERROR(INDEX(DFD!$L$2:$L$1048790,MATCH($Q597,DFD!$B$2:$B$1048790,0)),"")</f>
        <v/>
      </c>
      <c r="Z597" s="97">
        <f t="shared" si="13"/>
        <v>45</v>
      </c>
      <c r="AA597" s="87"/>
      <c r="AB597" s="87" t="s">
        <v>78</v>
      </c>
      <c r="AC597" s="87"/>
      <c r="AD597" s="99">
        <v>46043.0</v>
      </c>
      <c r="AE597" s="100">
        <f t="shared" si="8"/>
        <v>1</v>
      </c>
    </row>
    <row r="598" ht="15.75" customHeight="1">
      <c r="A598" s="67" t="s">
        <v>1837</v>
      </c>
      <c r="B598" s="59" t="s">
        <v>174</v>
      </c>
      <c r="C598" s="60" t="s">
        <v>1838</v>
      </c>
      <c r="D598" s="60" t="s">
        <v>51</v>
      </c>
      <c r="E598" s="60">
        <v>1.0</v>
      </c>
      <c r="F598" s="72">
        <v>300.0</v>
      </c>
      <c r="G598" s="73" t="s">
        <v>53</v>
      </c>
      <c r="H598" s="74">
        <v>46174.0</v>
      </c>
      <c r="I598" s="67" t="s">
        <v>17</v>
      </c>
      <c r="J598" s="67" t="s">
        <v>54</v>
      </c>
      <c r="K598" s="67" t="s">
        <v>66</v>
      </c>
      <c r="L598" s="67" t="s">
        <v>56</v>
      </c>
      <c r="M598" s="73" t="s">
        <v>104</v>
      </c>
      <c r="N598" s="67" t="s">
        <v>20</v>
      </c>
      <c r="O598" s="59" t="s">
        <v>69</v>
      </c>
      <c r="P598" s="59"/>
      <c r="Q598" s="59" t="s">
        <v>118</v>
      </c>
      <c r="R598" s="76" t="s">
        <v>181</v>
      </c>
      <c r="S598" s="59"/>
      <c r="T598" s="59"/>
      <c r="U598" s="77" t="str">
        <f t="array" ref="U598">IFERROR(INDEX(DFD!$D$2:$D$1048791,MATCH($Q598,DFD!$B$2:$B$1048791,0)),"")</f>
        <v/>
      </c>
      <c r="V598" s="77" t="str">
        <f t="array" ref="V598">IFERROR(INDEX(DFD!$F$2:$F$1048791,MATCH($Q598,DFD!$B$2:$B$1048791,0)),"")</f>
        <v/>
      </c>
      <c r="W598" s="84" t="str">
        <f t="array" ref="W598">IFERROR(INDEX(DFD!$E$2:$E$1048791,MATCH($Q598,DFD!$B$2:$B$1048791,0)),"")</f>
        <v/>
      </c>
      <c r="X598" s="84" t="str">
        <f t="array" ref="X598">IFERROR(INDEX(DFD!$K$2:$K$1048791,MATCH($Q598,DFD!$B$2:$B$1048791,0)),"")</f>
        <v/>
      </c>
      <c r="Y598" s="84" t="str">
        <f t="array" ref="Y598">IFERROR(INDEX(DFD!$L$2:$L$1048790,MATCH($Q598,DFD!$B$2:$B$1048790,0)),"")</f>
        <v/>
      </c>
      <c r="Z598" s="84">
        <f t="shared" si="13"/>
        <v>45</v>
      </c>
      <c r="AA598" s="59"/>
      <c r="AB598" s="59" t="s">
        <v>78</v>
      </c>
      <c r="AC598" s="59"/>
      <c r="AD598" s="85">
        <v>46043.0</v>
      </c>
      <c r="AE598" s="86">
        <f t="shared" si="8"/>
        <v>1</v>
      </c>
    </row>
    <row r="599" ht="15.75" customHeight="1">
      <c r="A599" s="92" t="s">
        <v>1839</v>
      </c>
      <c r="B599" s="87" t="s">
        <v>174</v>
      </c>
      <c r="C599" s="88" t="s">
        <v>1840</v>
      </c>
      <c r="D599" s="88" t="s">
        <v>51</v>
      </c>
      <c r="E599" s="88">
        <v>1.0</v>
      </c>
      <c r="F599" s="89">
        <v>100.0</v>
      </c>
      <c r="G599" s="90" t="s">
        <v>53</v>
      </c>
      <c r="H599" s="91">
        <v>46143.0</v>
      </c>
      <c r="I599" s="92" t="s">
        <v>17</v>
      </c>
      <c r="J599" s="92" t="s">
        <v>54</v>
      </c>
      <c r="K599" s="92" t="s">
        <v>66</v>
      </c>
      <c r="L599" s="92" t="s">
        <v>56</v>
      </c>
      <c r="M599" s="90" t="s">
        <v>117</v>
      </c>
      <c r="N599" s="92" t="s">
        <v>20</v>
      </c>
      <c r="O599" s="87" t="s">
        <v>69</v>
      </c>
      <c r="P599" s="87"/>
      <c r="Q599" s="87" t="s">
        <v>118</v>
      </c>
      <c r="R599" s="93" t="s">
        <v>181</v>
      </c>
      <c r="S599" s="87"/>
      <c r="T599" s="87"/>
      <c r="U599" s="94" t="str">
        <f t="array" ref="U599">IFERROR(INDEX(DFD!$D$2:$D$1048791,MATCH($Q599,DFD!$B$2:$B$1048791,0)),"")</f>
        <v/>
      </c>
      <c r="V599" s="94" t="str">
        <f t="array" ref="V599">IFERROR(INDEX(DFD!$F$2:$F$1048791,MATCH($Q599,DFD!$B$2:$B$1048791,0)),"")</f>
        <v/>
      </c>
      <c r="W599" s="97" t="str">
        <f t="array" ref="W599">IFERROR(INDEX(DFD!$E$2:$E$1048791,MATCH($Q599,DFD!$B$2:$B$1048791,0)),"")</f>
        <v/>
      </c>
      <c r="X599" s="97" t="str">
        <f t="array" ref="X599">IFERROR(INDEX(DFD!$K$2:$K$1048791,MATCH($Q599,DFD!$B$2:$B$1048791,0)),"")</f>
        <v/>
      </c>
      <c r="Y599" s="97" t="str">
        <f t="array" ref="Y599">IFERROR(INDEX(DFD!$L$2:$L$1048790,MATCH($Q599,DFD!$B$2:$B$1048790,0)),"")</f>
        <v/>
      </c>
      <c r="Z599" s="97">
        <f t="shared" si="13"/>
        <v>45</v>
      </c>
      <c r="AA599" s="87"/>
      <c r="AB599" s="87" t="s">
        <v>78</v>
      </c>
      <c r="AC599" s="87"/>
      <c r="AD599" s="99">
        <v>46043.0</v>
      </c>
      <c r="AE599" s="100">
        <f t="shared" si="8"/>
        <v>1</v>
      </c>
    </row>
    <row r="600" ht="15.75" customHeight="1">
      <c r="A600" s="67" t="s">
        <v>1841</v>
      </c>
      <c r="B600" s="67" t="s">
        <v>174</v>
      </c>
      <c r="C600" s="60" t="s">
        <v>1840</v>
      </c>
      <c r="D600" s="81" t="s">
        <v>51</v>
      </c>
      <c r="E600" s="81">
        <v>1.0</v>
      </c>
      <c r="F600" s="101">
        <v>100.0</v>
      </c>
      <c r="G600" s="73" t="s">
        <v>53</v>
      </c>
      <c r="H600" s="83">
        <v>46143.0</v>
      </c>
      <c r="I600" s="67" t="s">
        <v>17</v>
      </c>
      <c r="J600" s="67" t="s">
        <v>54</v>
      </c>
      <c r="K600" s="67" t="s">
        <v>66</v>
      </c>
      <c r="L600" s="67" t="s">
        <v>56</v>
      </c>
      <c r="M600" s="73" t="s">
        <v>68</v>
      </c>
      <c r="N600" s="67" t="s">
        <v>20</v>
      </c>
      <c r="O600" s="67" t="s">
        <v>89</v>
      </c>
      <c r="P600" s="59"/>
      <c r="Q600" s="59" t="s">
        <v>180</v>
      </c>
      <c r="R600" s="76" t="s">
        <v>181</v>
      </c>
      <c r="S600" s="59"/>
      <c r="T600" s="59"/>
      <c r="U600" s="77" t="str">
        <f t="array" ref="U600">IFERROR(INDEX(DFD!$D$2:$D$1048791,MATCH($Q600,DFD!$B$2:$B$1048791,0)),"")</f>
        <v/>
      </c>
      <c r="V600" s="77" t="str">
        <f t="array" ref="V600">IFERROR(INDEX(DFD!$F$2:$F$1048791,MATCH($Q600,DFD!$B$2:$B$1048791,0)),"")</f>
        <v/>
      </c>
      <c r="W600" s="84" t="str">
        <f t="array" ref="W600">IFERROR(INDEX(DFD!$E$2:$E$1048791,MATCH($Q600,DFD!$B$2:$B$1048791,0)),"")</f>
        <v/>
      </c>
      <c r="X600" s="84" t="str">
        <f t="array" ref="X600">IFERROR(INDEX(DFD!$K$2:$K$1048791,MATCH($Q600,DFD!$B$2:$B$1048791,0)),"")</f>
        <v/>
      </c>
      <c r="Y600" s="84" t="str">
        <f t="array" ref="Y600">IFERROR(INDEX(DFD!$L$2:$L$1048790,MATCH($Q600,DFD!$B$2:$B$1048790,0)),"")</f>
        <v/>
      </c>
      <c r="Z600" s="84">
        <f t="shared" si="13"/>
        <v>45</v>
      </c>
      <c r="AA600" s="59"/>
      <c r="AB600" s="59" t="s">
        <v>78</v>
      </c>
      <c r="AC600" s="59"/>
      <c r="AD600" s="85">
        <v>46043.0</v>
      </c>
      <c r="AE600" s="86">
        <f t="shared" si="8"/>
        <v>1</v>
      </c>
    </row>
    <row r="601" ht="15.75" customHeight="1">
      <c r="A601" s="87" t="s">
        <v>1842</v>
      </c>
      <c r="B601" s="87" t="s">
        <v>109</v>
      </c>
      <c r="C601" s="88" t="s">
        <v>1843</v>
      </c>
      <c r="D601" s="88" t="s">
        <v>51</v>
      </c>
      <c r="E601" s="88">
        <v>2.0</v>
      </c>
      <c r="F601" s="89">
        <v>2000.0</v>
      </c>
      <c r="G601" s="90" t="s">
        <v>53</v>
      </c>
      <c r="H601" s="91">
        <v>46174.0</v>
      </c>
      <c r="I601" s="92" t="s">
        <v>17</v>
      </c>
      <c r="J601" s="92" t="s">
        <v>54</v>
      </c>
      <c r="K601" s="92" t="s">
        <v>66</v>
      </c>
      <c r="L601" s="92" t="s">
        <v>67</v>
      </c>
      <c r="M601" s="90" t="s">
        <v>117</v>
      </c>
      <c r="N601" s="92" t="s">
        <v>5</v>
      </c>
      <c r="O601" s="87" t="s">
        <v>69</v>
      </c>
      <c r="P601" s="87"/>
      <c r="Q601" s="87" t="s">
        <v>576</v>
      </c>
      <c r="R601" s="93" t="s">
        <v>577</v>
      </c>
      <c r="S601" s="87"/>
      <c r="T601" s="87"/>
      <c r="U601" s="94" t="str">
        <f t="array" ref="U601">IFERROR(INDEX(DFD!$D$2:$D$1048791,MATCH($Q601,DFD!$B$2:$B$1048791,0)),"")</f>
        <v/>
      </c>
      <c r="V601" s="94" t="s">
        <v>280</v>
      </c>
      <c r="W601" s="97" t="str">
        <f t="array" ref="W601">IFERROR(INDEX(DFD!$E$2:$E$1048791,MATCH($Q601,DFD!$B$2:$B$1048791,0)),"")</f>
        <v/>
      </c>
      <c r="X601" s="97" t="str">
        <f t="array" ref="X601">IFERROR(INDEX(DFD!$K$2:$K$1048791,MATCH($Q601,DFD!$B$2:$B$1048791,0)),"")</f>
        <v/>
      </c>
      <c r="Y601" s="97" t="str">
        <f t="array" ref="Y601">IFERROR(INDEX(DFD!$L$2:$L$1048790,MATCH($Q601,DFD!$B$2:$B$1048790,0)),"")</f>
        <v/>
      </c>
      <c r="Z601" s="97">
        <f t="shared" si="13"/>
        <v>45</v>
      </c>
      <c r="AA601" s="87"/>
      <c r="AB601" s="87" t="s">
        <v>78</v>
      </c>
      <c r="AC601" s="87"/>
      <c r="AD601" s="99">
        <v>46043.0</v>
      </c>
      <c r="AE601" s="100">
        <f t="shared" si="8"/>
        <v>1</v>
      </c>
    </row>
    <row r="602" ht="15.75" customHeight="1">
      <c r="A602" s="67" t="s">
        <v>1844</v>
      </c>
      <c r="B602" s="59" t="s">
        <v>49</v>
      </c>
      <c r="C602" s="135" t="s">
        <v>1845</v>
      </c>
      <c r="D602" s="60" t="s">
        <v>51</v>
      </c>
      <c r="E602" s="60">
        <v>100.0</v>
      </c>
      <c r="F602" s="72">
        <v>20000.0</v>
      </c>
      <c r="G602" s="73" t="s">
        <v>53</v>
      </c>
      <c r="H602" s="74">
        <v>46235.0</v>
      </c>
      <c r="I602" s="67" t="s">
        <v>17</v>
      </c>
      <c r="J602" s="67" t="s">
        <v>54</v>
      </c>
      <c r="K602" s="67" t="s">
        <v>66</v>
      </c>
      <c r="L602" s="67" t="s">
        <v>56</v>
      </c>
      <c r="M602" s="73" t="s">
        <v>132</v>
      </c>
      <c r="N602" s="67" t="s">
        <v>20</v>
      </c>
      <c r="O602" s="59" t="s">
        <v>69</v>
      </c>
      <c r="P602" s="59"/>
      <c r="Q602" s="59" t="s">
        <v>1846</v>
      </c>
      <c r="R602" s="76" t="s">
        <v>114</v>
      </c>
      <c r="S602" s="59"/>
      <c r="T602" s="59"/>
      <c r="U602" s="77" t="str">
        <f t="array" ref="U602">IFERROR(INDEX(DFD!$D$2:$D$1048791,MATCH($Q602,DFD!$B$2:$B$1048791,0)),"")</f>
        <v/>
      </c>
      <c r="V602" s="77" t="s">
        <v>62</v>
      </c>
      <c r="W602" s="84" t="str">
        <f t="array" ref="W602">IFERROR(INDEX(DFD!$E$2:$E$1048791,MATCH($Q602,DFD!$B$2:$B$1048791,0)),"")</f>
        <v/>
      </c>
      <c r="X602" s="84" t="str">
        <f t="array" ref="X602">IFERROR(INDEX(DFD!$K$2:$K$1048791,MATCH($Q602,DFD!$B$2:$B$1048791,0)),"")</f>
        <v/>
      </c>
      <c r="Y602" s="84" t="str">
        <f t="array" ref="Y602">IFERROR(INDEX(DFD!$L$2:$L$1048790,MATCH($Q602,DFD!$B$2:$B$1048790,0)),"")</f>
        <v/>
      </c>
      <c r="Z602" s="84">
        <f t="shared" si="13"/>
        <v>45</v>
      </c>
      <c r="AA602" s="59"/>
      <c r="AB602" s="59" t="s">
        <v>78</v>
      </c>
      <c r="AC602" s="59"/>
      <c r="AD602" s="85">
        <v>46043.0</v>
      </c>
      <c r="AE602" s="86">
        <f t="shared" si="8"/>
        <v>1</v>
      </c>
    </row>
    <row r="603" ht="15.75" customHeight="1">
      <c r="A603" s="87" t="s">
        <v>1847</v>
      </c>
      <c r="B603" s="87" t="s">
        <v>136</v>
      </c>
      <c r="C603" s="88" t="s">
        <v>1848</v>
      </c>
      <c r="D603" s="88" t="s">
        <v>1849</v>
      </c>
      <c r="E603" s="88">
        <v>1.0</v>
      </c>
      <c r="F603" s="89">
        <v>100.0</v>
      </c>
      <c r="G603" s="90" t="s">
        <v>53</v>
      </c>
      <c r="H603" s="91">
        <v>46143.0</v>
      </c>
      <c r="I603" s="92" t="s">
        <v>17</v>
      </c>
      <c r="J603" s="92" t="s">
        <v>54</v>
      </c>
      <c r="K603" s="92" t="s">
        <v>66</v>
      </c>
      <c r="L603" s="92" t="s">
        <v>67</v>
      </c>
      <c r="M603" s="90" t="s">
        <v>57</v>
      </c>
      <c r="N603" s="92" t="s">
        <v>5</v>
      </c>
      <c r="O603" s="92" t="s">
        <v>89</v>
      </c>
      <c r="P603" s="87"/>
      <c r="Q603" s="87" t="s">
        <v>576</v>
      </c>
      <c r="R603" s="93" t="s">
        <v>577</v>
      </c>
      <c r="S603" s="87"/>
      <c r="T603" s="87"/>
      <c r="U603" s="94" t="str">
        <f t="array" ref="U603">IFERROR(INDEX(DFD!$D$2:$D$1048791,MATCH($Q603,DFD!$B$2:$B$1048791,0)),"")</f>
        <v/>
      </c>
      <c r="V603" s="94" t="s">
        <v>280</v>
      </c>
      <c r="W603" s="97" t="str">
        <f t="array" ref="W603">IFERROR(INDEX(DFD!$E$2:$E$1048791,MATCH($Q603,DFD!$B$2:$B$1048791,0)),"")</f>
        <v/>
      </c>
      <c r="X603" s="97" t="str">
        <f t="array" ref="X603">IFERROR(INDEX(DFD!$K$2:$K$1048791,MATCH($Q603,DFD!$B$2:$B$1048791,0)),"")</f>
        <v/>
      </c>
      <c r="Y603" s="97" t="str">
        <f t="array" ref="Y603">IFERROR(INDEX(DFD!$L$2:$L$1048790,MATCH($Q603,DFD!$B$2:$B$1048790,0)),"")</f>
        <v/>
      </c>
      <c r="Z603" s="97">
        <f t="shared" si="13"/>
        <v>45</v>
      </c>
      <c r="AA603" s="87"/>
      <c r="AB603" s="87" t="s">
        <v>78</v>
      </c>
      <c r="AC603" s="87"/>
      <c r="AD603" s="99">
        <v>46043.0</v>
      </c>
      <c r="AE603" s="100">
        <f t="shared" si="8"/>
        <v>1</v>
      </c>
    </row>
    <row r="604" ht="15.75" customHeight="1">
      <c r="A604" s="59" t="s">
        <v>1850</v>
      </c>
      <c r="B604" s="59" t="s">
        <v>101</v>
      </c>
      <c r="C604" s="60" t="s">
        <v>1851</v>
      </c>
      <c r="D604" s="60" t="s">
        <v>984</v>
      </c>
      <c r="E604" s="60">
        <v>4.0</v>
      </c>
      <c r="F604" s="72">
        <v>7680.0</v>
      </c>
      <c r="G604" s="73" t="s">
        <v>53</v>
      </c>
      <c r="H604" s="74">
        <v>46204.0</v>
      </c>
      <c r="I604" s="67" t="s">
        <v>17</v>
      </c>
      <c r="J604" s="67" t="s">
        <v>54</v>
      </c>
      <c r="K604" s="67" t="s">
        <v>66</v>
      </c>
      <c r="L604" s="67" t="s">
        <v>56</v>
      </c>
      <c r="M604" s="73" t="s">
        <v>132</v>
      </c>
      <c r="N604" s="67" t="s">
        <v>20</v>
      </c>
      <c r="O604" s="59" t="s">
        <v>69</v>
      </c>
      <c r="P604" s="59"/>
      <c r="Q604" s="59" t="s">
        <v>1852</v>
      </c>
      <c r="R604" s="76" t="s">
        <v>1631</v>
      </c>
      <c r="S604" s="59"/>
      <c r="T604" s="59"/>
      <c r="U604" s="77" t="str">
        <f t="array" ref="U604">IFERROR(INDEX(DFD!$D$2:$D$1048791,MATCH($Q604,DFD!$B$2:$B$1048791,0)),"")</f>
        <v/>
      </c>
      <c r="V604" s="77" t="str">
        <f t="array" ref="V604">IFERROR(INDEX(DFD!$F$2:$F$1048791,MATCH($Q604,DFD!$B$2:$B$1048791,0)),"")</f>
        <v/>
      </c>
      <c r="W604" s="84" t="str">
        <f t="array" ref="W604">IFERROR(INDEX(DFD!$E$2:$E$1048791,MATCH($Q604,DFD!$B$2:$B$1048791,0)),"")</f>
        <v/>
      </c>
      <c r="X604" s="84" t="str">
        <f t="array" ref="X604">IFERROR(INDEX(DFD!$K$2:$K$1048791,MATCH($Q604,DFD!$B$2:$B$1048791,0)),"")</f>
        <v/>
      </c>
      <c r="Y604" s="84" t="str">
        <f t="array" ref="Y604">IFERROR(INDEX(DFD!$L$2:$L$1048790,MATCH($Q604,DFD!$B$2:$B$1048790,0)),"")</f>
        <v/>
      </c>
      <c r="Z604" s="84">
        <f t="shared" si="13"/>
        <v>45</v>
      </c>
      <c r="AA604" s="59"/>
      <c r="AB604" s="59" t="s">
        <v>78</v>
      </c>
      <c r="AC604" s="59"/>
      <c r="AD604" s="85">
        <v>46043.0</v>
      </c>
      <c r="AE604" s="86">
        <f t="shared" si="8"/>
        <v>1</v>
      </c>
    </row>
    <row r="605" ht="15.75" customHeight="1">
      <c r="A605" s="87" t="s">
        <v>1853</v>
      </c>
      <c r="B605" s="87" t="s">
        <v>87</v>
      </c>
      <c r="C605" s="88" t="s">
        <v>1854</v>
      </c>
      <c r="D605" s="88" t="s">
        <v>1105</v>
      </c>
      <c r="E605" s="88">
        <v>2.0</v>
      </c>
      <c r="F605" s="89">
        <v>1000.0</v>
      </c>
      <c r="G605" s="90" t="s">
        <v>53</v>
      </c>
      <c r="H605" s="91">
        <v>46174.0</v>
      </c>
      <c r="I605" s="92" t="s">
        <v>17</v>
      </c>
      <c r="J605" s="92" t="s">
        <v>54</v>
      </c>
      <c r="K605" s="92" t="s">
        <v>66</v>
      </c>
      <c r="L605" s="92" t="s">
        <v>67</v>
      </c>
      <c r="M605" s="90" t="s">
        <v>57</v>
      </c>
      <c r="N605" s="92" t="s">
        <v>5</v>
      </c>
      <c r="O605" s="87" t="s">
        <v>69</v>
      </c>
      <c r="P605" s="87"/>
      <c r="Q605" s="87" t="s">
        <v>576</v>
      </c>
      <c r="R605" s="93" t="s">
        <v>577</v>
      </c>
      <c r="S605" s="87"/>
      <c r="T605" s="87"/>
      <c r="U605" s="94" t="str">
        <f t="array" ref="U605">IFERROR(INDEX(DFD!$D$2:$D$1048791,MATCH($Q605,DFD!$B$2:$B$1048791,0)),"")</f>
        <v/>
      </c>
      <c r="V605" s="94" t="s">
        <v>280</v>
      </c>
      <c r="W605" s="97" t="str">
        <f t="array" ref="W605">IFERROR(INDEX(DFD!$E$2:$E$1048791,MATCH($Q605,DFD!$B$2:$B$1048791,0)),"")</f>
        <v/>
      </c>
      <c r="X605" s="97" t="str">
        <f t="array" ref="X605">IFERROR(INDEX(DFD!$K$2:$K$1048791,MATCH($Q605,DFD!$B$2:$B$1048791,0)),"")</f>
        <v/>
      </c>
      <c r="Y605" s="97" t="str">
        <f t="array" ref="Y605">IFERROR(INDEX(DFD!$L$2:$L$1048790,MATCH($Q605,DFD!$B$2:$B$1048790,0)),"")</f>
        <v/>
      </c>
      <c r="Z605" s="97">
        <f t="shared" si="13"/>
        <v>45</v>
      </c>
      <c r="AA605" s="87"/>
      <c r="AB605" s="87" t="s">
        <v>78</v>
      </c>
      <c r="AC605" s="87"/>
      <c r="AD605" s="99">
        <v>46043.0</v>
      </c>
      <c r="AE605" s="100">
        <f t="shared" si="8"/>
        <v>1</v>
      </c>
    </row>
    <row r="606" ht="15.75" customHeight="1">
      <c r="A606" s="59" t="s">
        <v>1855</v>
      </c>
      <c r="B606" s="59" t="s">
        <v>101</v>
      </c>
      <c r="C606" s="60" t="s">
        <v>1856</v>
      </c>
      <c r="D606" s="60" t="s">
        <v>984</v>
      </c>
      <c r="E606" s="60">
        <v>2.0</v>
      </c>
      <c r="F606" s="72">
        <v>940.0</v>
      </c>
      <c r="G606" s="73" t="s">
        <v>53</v>
      </c>
      <c r="H606" s="74">
        <v>46174.0</v>
      </c>
      <c r="I606" s="67" t="s">
        <v>17</v>
      </c>
      <c r="J606" s="67" t="s">
        <v>54</v>
      </c>
      <c r="K606" s="67" t="s">
        <v>66</v>
      </c>
      <c r="L606" s="67" t="s">
        <v>56</v>
      </c>
      <c r="M606" s="73" t="s">
        <v>167</v>
      </c>
      <c r="N606" s="67" t="s">
        <v>58</v>
      </c>
      <c r="O606" s="67" t="s">
        <v>89</v>
      </c>
      <c r="P606" s="59"/>
      <c r="Q606" s="59" t="s">
        <v>351</v>
      </c>
      <c r="R606" s="76" t="s">
        <v>1631</v>
      </c>
      <c r="S606" s="59"/>
      <c r="T606" s="59"/>
      <c r="U606" s="77" t="str">
        <f t="array" ref="U606">IFERROR(INDEX(DFD!$D$2:$D$1048791,MATCH($Q606,DFD!$B$2:$B$1048791,0)),"")</f>
        <v/>
      </c>
      <c r="V606" s="77" t="s">
        <v>280</v>
      </c>
      <c r="W606" s="84" t="str">
        <f t="array" ref="W606">IFERROR(INDEX(DFD!$E$2:$E$1048791,MATCH($Q606,DFD!$B$2:$B$1048791,0)),"")</f>
        <v/>
      </c>
      <c r="X606" s="84" t="str">
        <f t="array" ref="X606">IFERROR(INDEX(DFD!$K$2:$K$1048791,MATCH($Q606,DFD!$B$2:$B$1048791,0)),"")</f>
        <v/>
      </c>
      <c r="Y606" s="84" t="str">
        <f t="array" ref="Y606">IFERROR(INDEX(DFD!$L$2:$L$1048790,MATCH($Q606,DFD!$B$2:$B$1048790,0)),"")</f>
        <v/>
      </c>
      <c r="Z606" s="84">
        <f t="shared" si="13"/>
        <v>45</v>
      </c>
      <c r="AA606" s="59"/>
      <c r="AB606" s="59" t="s">
        <v>78</v>
      </c>
      <c r="AC606" s="59"/>
      <c r="AD606" s="85">
        <v>46043.0</v>
      </c>
      <c r="AE606" s="86">
        <f t="shared" si="8"/>
        <v>1</v>
      </c>
    </row>
    <row r="607" ht="15.75" customHeight="1">
      <c r="A607" s="87" t="s">
        <v>1857</v>
      </c>
      <c r="B607" s="92" t="s">
        <v>101</v>
      </c>
      <c r="C607" s="88" t="s">
        <v>1856</v>
      </c>
      <c r="D607" s="116" t="s">
        <v>984</v>
      </c>
      <c r="E607" s="116">
        <v>2.0</v>
      </c>
      <c r="F607" s="137">
        <v>940.0</v>
      </c>
      <c r="G607" s="90" t="s">
        <v>53</v>
      </c>
      <c r="H607" s="118">
        <v>46174.0</v>
      </c>
      <c r="I607" s="92" t="s">
        <v>17</v>
      </c>
      <c r="J607" s="92" t="s">
        <v>54</v>
      </c>
      <c r="K607" s="92" t="s">
        <v>66</v>
      </c>
      <c r="L607" s="92" t="s">
        <v>56</v>
      </c>
      <c r="M607" s="90" t="s">
        <v>132</v>
      </c>
      <c r="N607" s="92" t="s">
        <v>58</v>
      </c>
      <c r="O607" s="87" t="s">
        <v>69</v>
      </c>
      <c r="P607" s="87"/>
      <c r="Q607" s="87" t="s">
        <v>351</v>
      </c>
      <c r="R607" s="93" t="s">
        <v>1631</v>
      </c>
      <c r="S607" s="87"/>
      <c r="T607" s="87"/>
      <c r="U607" s="94" t="str">
        <f t="array" ref="U607">IFERROR(INDEX(DFD!$D$2:$D$1048791,MATCH($Q607,DFD!$B$2:$B$1048791,0)),"")</f>
        <v/>
      </c>
      <c r="V607" s="94" t="s">
        <v>280</v>
      </c>
      <c r="W607" s="97" t="str">
        <f t="array" ref="W607">IFERROR(INDEX(DFD!$E$2:$E$1048791,MATCH($Q607,DFD!$B$2:$B$1048791,0)),"")</f>
        <v/>
      </c>
      <c r="X607" s="97" t="str">
        <f t="array" ref="X607">IFERROR(INDEX(DFD!$K$2:$K$1048791,MATCH($Q607,DFD!$B$2:$B$1048791,0)),"")</f>
        <v/>
      </c>
      <c r="Y607" s="97" t="str">
        <f t="array" ref="Y607">IFERROR(INDEX(DFD!$L$2:$L$1048790,MATCH($Q607,DFD!$B$2:$B$1048790,0)),"")</f>
        <v/>
      </c>
      <c r="Z607" s="97">
        <f t="shared" si="13"/>
        <v>45</v>
      </c>
      <c r="AA607" s="87"/>
      <c r="AB607" s="87" t="s">
        <v>78</v>
      </c>
      <c r="AC607" s="87"/>
      <c r="AD607" s="99">
        <v>46043.0</v>
      </c>
      <c r="AE607" s="100">
        <f t="shared" si="8"/>
        <v>1</v>
      </c>
    </row>
    <row r="608" ht="15.75" customHeight="1">
      <c r="A608" s="59" t="s">
        <v>1858</v>
      </c>
      <c r="B608" s="59" t="s">
        <v>101</v>
      </c>
      <c r="C608" s="60" t="s">
        <v>1859</v>
      </c>
      <c r="D608" s="60" t="s">
        <v>984</v>
      </c>
      <c r="E608" s="60">
        <v>4.0</v>
      </c>
      <c r="F608" s="72">
        <v>4000.0</v>
      </c>
      <c r="G608" s="73" t="s">
        <v>53</v>
      </c>
      <c r="H608" s="74">
        <v>46204.0</v>
      </c>
      <c r="I608" s="67" t="s">
        <v>17</v>
      </c>
      <c r="J608" s="67" t="s">
        <v>54</v>
      </c>
      <c r="K608" s="67" t="s">
        <v>66</v>
      </c>
      <c r="L608" s="67" t="s">
        <v>56</v>
      </c>
      <c r="M608" s="73" t="s">
        <v>132</v>
      </c>
      <c r="N608" s="67" t="s">
        <v>58</v>
      </c>
      <c r="O608" s="59" t="s">
        <v>69</v>
      </c>
      <c r="P608" s="59"/>
      <c r="Q608" s="59" t="s">
        <v>275</v>
      </c>
      <c r="R608" s="76" t="s">
        <v>71</v>
      </c>
      <c r="S608" s="59"/>
      <c r="T608" s="59"/>
      <c r="U608" s="77" t="str">
        <f t="array" ref="U608">IFERROR(INDEX(DFD!$D$2:$D$1048791,MATCH($Q608,DFD!$B$2:$B$1048791,0)),"")</f>
        <v/>
      </c>
      <c r="V608" s="77" t="str">
        <f t="array" ref="V608">IFERROR(INDEX(DFD!$F$2:$F$1048791,MATCH($Q608,DFD!$B$2:$B$1048791,0)),"")</f>
        <v/>
      </c>
      <c r="W608" s="84" t="str">
        <f t="array" ref="W608">IFERROR(INDEX(DFD!$E$2:$E$1048791,MATCH($Q608,DFD!$B$2:$B$1048791,0)),"")</f>
        <v/>
      </c>
      <c r="X608" s="84" t="str">
        <f t="array" ref="X608">IFERROR(INDEX(DFD!$K$2:$K$1048791,MATCH($Q608,DFD!$B$2:$B$1048791,0)),"")</f>
        <v/>
      </c>
      <c r="Y608" s="84" t="str">
        <f t="array" ref="Y608">IFERROR(INDEX(DFD!$L$2:$L$1048790,MATCH($Q608,DFD!$B$2:$B$1048790,0)),"")</f>
        <v/>
      </c>
      <c r="Z608" s="84">
        <f t="shared" si="13"/>
        <v>45</v>
      </c>
      <c r="AA608" s="59"/>
      <c r="AB608" s="59" t="s">
        <v>78</v>
      </c>
      <c r="AC608" s="59"/>
      <c r="AD608" s="85">
        <v>46043.0</v>
      </c>
      <c r="AE608" s="86">
        <f t="shared" si="8"/>
        <v>1</v>
      </c>
    </row>
    <row r="609" ht="15.75" customHeight="1">
      <c r="A609" s="92" t="s">
        <v>1860</v>
      </c>
      <c r="B609" s="87" t="s">
        <v>184</v>
      </c>
      <c r="C609" s="88" t="s">
        <v>1861</v>
      </c>
      <c r="D609" s="88" t="s">
        <v>51</v>
      </c>
      <c r="E609" s="88">
        <v>200.0</v>
      </c>
      <c r="F609" s="89">
        <v>8400.0</v>
      </c>
      <c r="G609" s="90" t="s">
        <v>53</v>
      </c>
      <c r="H609" s="91">
        <v>46204.0</v>
      </c>
      <c r="I609" s="92" t="s">
        <v>17</v>
      </c>
      <c r="J609" s="92" t="s">
        <v>54</v>
      </c>
      <c r="K609" s="92" t="s">
        <v>66</v>
      </c>
      <c r="L609" s="92" t="s">
        <v>67</v>
      </c>
      <c r="M609" s="90" t="s">
        <v>112</v>
      </c>
      <c r="N609" s="92" t="s">
        <v>20</v>
      </c>
      <c r="O609" s="92" t="s">
        <v>89</v>
      </c>
      <c r="P609" s="87"/>
      <c r="Q609" s="87" t="s">
        <v>672</v>
      </c>
      <c r="R609" s="93" t="s">
        <v>269</v>
      </c>
      <c r="S609" s="87"/>
      <c r="T609" s="87"/>
      <c r="U609" s="94" t="str">
        <f t="array" ref="U609">IFERROR(INDEX(DFD!$D$2:$D$1048791,MATCH($Q609,DFD!$B$2:$B$1048791,0)),"")</f>
        <v/>
      </c>
      <c r="V609" s="94" t="str">
        <f t="array" ref="V609">IFERROR(INDEX(DFD!$F$2:$F$1048791,MATCH($Q609,DFD!$B$2:$B$1048791,0)),"")</f>
        <v/>
      </c>
      <c r="W609" s="97" t="str">
        <f t="array" ref="W609">IFERROR(INDEX(DFD!$E$2:$E$1048791,MATCH($Q609,DFD!$B$2:$B$1048791,0)),"")</f>
        <v/>
      </c>
      <c r="X609" s="97" t="str">
        <f t="array" ref="X609">IFERROR(INDEX(DFD!$K$2:$K$1048791,MATCH($Q609,DFD!$B$2:$B$1048791,0)),"")</f>
        <v/>
      </c>
      <c r="Y609" s="97" t="str">
        <f t="array" ref="Y609">IFERROR(INDEX(DFD!$L$2:$L$1048790,MATCH($Q609,DFD!$B$2:$B$1048790,0)),"")</f>
        <v/>
      </c>
      <c r="Z609" s="97">
        <f t="shared" si="13"/>
        <v>45</v>
      </c>
      <c r="AA609" s="87"/>
      <c r="AB609" s="87" t="s">
        <v>78</v>
      </c>
      <c r="AC609" s="87"/>
      <c r="AD609" s="99">
        <v>46043.0</v>
      </c>
      <c r="AE609" s="100">
        <f t="shared" si="8"/>
        <v>1</v>
      </c>
    </row>
    <row r="610" ht="15.75" customHeight="1">
      <c r="A610" s="59" t="s">
        <v>1862</v>
      </c>
      <c r="B610" s="67" t="s">
        <v>73</v>
      </c>
      <c r="C610" s="60" t="s">
        <v>1863</v>
      </c>
      <c r="D610" s="81" t="s">
        <v>51</v>
      </c>
      <c r="E610" s="81">
        <v>6.0</v>
      </c>
      <c r="F610" s="101">
        <v>270000.0</v>
      </c>
      <c r="G610" s="73" t="s">
        <v>53</v>
      </c>
      <c r="H610" s="83">
        <v>46143.0</v>
      </c>
      <c r="I610" s="67" t="s">
        <v>18</v>
      </c>
      <c r="J610" s="67" t="s">
        <v>54</v>
      </c>
      <c r="K610" s="67" t="s">
        <v>83</v>
      </c>
      <c r="L610" s="67" t="s">
        <v>56</v>
      </c>
      <c r="M610" s="73" t="s">
        <v>104</v>
      </c>
      <c r="N610" s="67" t="s">
        <v>58</v>
      </c>
      <c r="O610" s="59" t="s">
        <v>69</v>
      </c>
      <c r="P610" s="59"/>
      <c r="Q610" s="59" t="s">
        <v>1864</v>
      </c>
      <c r="R610" s="76" t="s">
        <v>71</v>
      </c>
      <c r="S610" s="59"/>
      <c r="T610" s="59"/>
      <c r="U610" s="77" t="s">
        <v>1865</v>
      </c>
      <c r="V610" s="77" t="str">
        <f t="array" ref="V610">IFERROR(INDEX(DFD!$F$2:$F$1048791,MATCH($Q610,DFD!$B$2:$B$1048791,0)),"")</f>
        <v/>
      </c>
      <c r="W610" s="84" t="str">
        <f t="array" ref="W610">IFERROR(INDEX(DFD!$E$2:$E$1048791,MATCH($Q610,DFD!$B$2:$B$1048791,0)),"")</f>
        <v/>
      </c>
      <c r="X610" s="84" t="str">
        <f t="array" ref="X610">IFERROR(INDEX(DFD!$K$2:$K$1048791,MATCH($Q610,DFD!$B$2:$B$1048791,0)),"")</f>
        <v/>
      </c>
      <c r="Y610" s="84" t="str">
        <f t="array" ref="Y610">IFERROR(INDEX(DFD!$L$2:$L$1048790,MATCH($Q610,DFD!$B$2:$B$1048790,0)),"")</f>
        <v/>
      </c>
      <c r="Z610" s="84">
        <f t="shared" si="13"/>
        <v>45</v>
      </c>
      <c r="AA610" s="59"/>
      <c r="AB610" s="59" t="s">
        <v>78</v>
      </c>
      <c r="AC610" s="59"/>
      <c r="AD610" s="85">
        <v>46043.0</v>
      </c>
      <c r="AE610" s="86">
        <f t="shared" si="8"/>
        <v>1</v>
      </c>
    </row>
    <row r="611" ht="15.75" customHeight="1">
      <c r="A611" s="87" t="s">
        <v>1866</v>
      </c>
      <c r="B611" s="87" t="s">
        <v>101</v>
      </c>
      <c r="C611" s="88" t="s">
        <v>1867</v>
      </c>
      <c r="D611" s="88" t="s">
        <v>984</v>
      </c>
      <c r="E611" s="88">
        <v>5.0</v>
      </c>
      <c r="F611" s="89">
        <v>290.0</v>
      </c>
      <c r="G611" s="90" t="s">
        <v>53</v>
      </c>
      <c r="H611" s="91">
        <v>46143.0</v>
      </c>
      <c r="I611" s="92" t="s">
        <v>17</v>
      </c>
      <c r="J611" s="92" t="s">
        <v>54</v>
      </c>
      <c r="K611" s="92" t="s">
        <v>66</v>
      </c>
      <c r="L611" s="92" t="s">
        <v>56</v>
      </c>
      <c r="M611" s="90" t="s">
        <v>132</v>
      </c>
      <c r="N611" s="92" t="s">
        <v>58</v>
      </c>
      <c r="O611" s="87" t="s">
        <v>69</v>
      </c>
      <c r="P611" s="87"/>
      <c r="Q611" s="87" t="s">
        <v>491</v>
      </c>
      <c r="R611" s="93" t="s">
        <v>269</v>
      </c>
      <c r="S611" s="87"/>
      <c r="T611" s="87"/>
      <c r="U611" s="94" t="str">
        <f t="array" ref="U611">IFERROR(INDEX(DFD!$D$2:$D$1048791,MATCH($Q611,DFD!$B$2:$B$1048791,0)),"")</f>
        <v/>
      </c>
      <c r="V611" s="94" t="str">
        <f t="array" ref="V611">IFERROR(INDEX(DFD!$F$2:$F$1048791,MATCH($Q611,DFD!$B$2:$B$1048791,0)),"")</f>
        <v/>
      </c>
      <c r="W611" s="97" t="str">
        <f t="array" ref="W611">IFERROR(INDEX(DFD!$E$2:$E$1048791,MATCH($Q611,DFD!$B$2:$B$1048791,0)),"")</f>
        <v/>
      </c>
      <c r="X611" s="97" t="str">
        <f t="array" ref="X611">IFERROR(INDEX(DFD!$K$2:$K$1048791,MATCH($Q611,DFD!$B$2:$B$1048791,0)),"")</f>
        <v/>
      </c>
      <c r="Y611" s="97" t="str">
        <f t="array" ref="Y611">IFERROR(INDEX(DFD!$L$2:$L$1048790,MATCH($Q611,DFD!$B$2:$B$1048790,0)),"")</f>
        <v/>
      </c>
      <c r="Z611" s="97">
        <f t="shared" si="13"/>
        <v>45</v>
      </c>
      <c r="AA611" s="87"/>
      <c r="AB611" s="87" t="s">
        <v>78</v>
      </c>
      <c r="AC611" s="87"/>
      <c r="AD611" s="99">
        <v>46043.0</v>
      </c>
      <c r="AE611" s="100">
        <f t="shared" si="8"/>
        <v>1</v>
      </c>
    </row>
    <row r="612" ht="15.75" customHeight="1">
      <c r="A612" s="67" t="s">
        <v>1868</v>
      </c>
      <c r="B612" s="59" t="s">
        <v>92</v>
      </c>
      <c r="C612" s="60" t="s">
        <v>1869</v>
      </c>
      <c r="D612" s="60" t="s">
        <v>51</v>
      </c>
      <c r="E612" s="60">
        <v>1.0</v>
      </c>
      <c r="F612" s="72">
        <v>4000.0</v>
      </c>
      <c r="G612" s="73" t="s">
        <v>53</v>
      </c>
      <c r="H612" s="74">
        <v>46204.0</v>
      </c>
      <c r="I612" s="67" t="s">
        <v>17</v>
      </c>
      <c r="J612" s="67" t="s">
        <v>54</v>
      </c>
      <c r="K612" s="67" t="s">
        <v>66</v>
      </c>
      <c r="L612" s="67" t="s">
        <v>67</v>
      </c>
      <c r="M612" s="73" t="s">
        <v>112</v>
      </c>
      <c r="N612" s="67" t="s">
        <v>20</v>
      </c>
      <c r="O612" s="67" t="s">
        <v>89</v>
      </c>
      <c r="P612" s="59"/>
      <c r="Q612" s="59" t="s">
        <v>1361</v>
      </c>
      <c r="R612" s="76" t="s">
        <v>71</v>
      </c>
      <c r="S612" s="59"/>
      <c r="T612" s="59"/>
      <c r="U612" s="77" t="str">
        <f t="array" ref="U612">IFERROR(INDEX(DFD!$D$2:$D$1048791,MATCH($Q612,DFD!$B$2:$B$1048791,0)),"")</f>
        <v/>
      </c>
      <c r="V612" s="77" t="str">
        <f t="array" ref="V612">IFERROR(INDEX(DFD!$F$2:$F$1048791,MATCH($Q612,DFD!$B$2:$B$1048791,0)),"")</f>
        <v/>
      </c>
      <c r="W612" s="84" t="str">
        <f t="array" ref="W612">IFERROR(INDEX(DFD!$E$2:$E$1048791,MATCH($Q612,DFD!$B$2:$B$1048791,0)),"")</f>
        <v/>
      </c>
      <c r="X612" s="84" t="str">
        <f t="array" ref="X612">IFERROR(INDEX(DFD!$K$2:$K$1048791,MATCH($Q612,DFD!$B$2:$B$1048791,0)),"")</f>
        <v/>
      </c>
      <c r="Y612" s="84" t="str">
        <f t="array" ref="Y612">IFERROR(INDEX(DFD!$L$2:$L$1048790,MATCH($Q612,DFD!$B$2:$B$1048790,0)),"")</f>
        <v/>
      </c>
      <c r="Z612" s="84">
        <f t="shared" si="13"/>
        <v>45</v>
      </c>
      <c r="AA612" s="59"/>
      <c r="AB612" s="59" t="s">
        <v>78</v>
      </c>
      <c r="AC612" s="59"/>
      <c r="AD612" s="85">
        <v>46043.0</v>
      </c>
      <c r="AE612" s="86">
        <f t="shared" si="8"/>
        <v>1</v>
      </c>
    </row>
    <row r="613" ht="15.75" customHeight="1">
      <c r="A613" s="87" t="s">
        <v>1870</v>
      </c>
      <c r="B613" s="87" t="s">
        <v>98</v>
      </c>
      <c r="C613" s="88" t="s">
        <v>1869</v>
      </c>
      <c r="D613" s="88" t="s">
        <v>51</v>
      </c>
      <c r="E613" s="88">
        <v>1.0</v>
      </c>
      <c r="F613" s="89">
        <v>4000.0</v>
      </c>
      <c r="G613" s="90" t="s">
        <v>53</v>
      </c>
      <c r="H613" s="91">
        <v>46204.0</v>
      </c>
      <c r="I613" s="92" t="s">
        <v>17</v>
      </c>
      <c r="J613" s="92" t="s">
        <v>54</v>
      </c>
      <c r="K613" s="92" t="s">
        <v>66</v>
      </c>
      <c r="L613" s="92" t="s">
        <v>67</v>
      </c>
      <c r="M613" s="90" t="s">
        <v>57</v>
      </c>
      <c r="N613" s="92" t="s">
        <v>5</v>
      </c>
      <c r="O613" s="87" t="s">
        <v>69</v>
      </c>
      <c r="P613" s="87"/>
      <c r="Q613" s="87" t="s">
        <v>1361</v>
      </c>
      <c r="R613" s="93" t="s">
        <v>71</v>
      </c>
      <c r="S613" s="87"/>
      <c r="T613" s="87"/>
      <c r="U613" s="94" t="str">
        <f t="array" ref="U613">IFERROR(INDEX(DFD!$D$2:$D$1048791,MATCH($Q613,DFD!$B$2:$B$1048791,0)),"")</f>
        <v/>
      </c>
      <c r="V613" s="94" t="str">
        <f t="array" ref="V613">IFERROR(INDEX(DFD!$F$2:$F$1048791,MATCH($Q613,DFD!$B$2:$B$1048791,0)),"")</f>
        <v/>
      </c>
      <c r="W613" s="97" t="str">
        <f t="array" ref="W613">IFERROR(INDEX(DFD!$E$2:$E$1048791,MATCH($Q613,DFD!$B$2:$B$1048791,0)),"")</f>
        <v/>
      </c>
      <c r="X613" s="97" t="str">
        <f t="array" ref="X613">IFERROR(INDEX(DFD!$K$2:$K$1048791,MATCH($Q613,DFD!$B$2:$B$1048791,0)),"")</f>
        <v/>
      </c>
      <c r="Y613" s="97" t="str">
        <f t="array" ref="Y613">IFERROR(INDEX(DFD!$L$2:$L$1048790,MATCH($Q613,DFD!$B$2:$B$1048790,0)),"")</f>
        <v/>
      </c>
      <c r="Z613" s="97">
        <f t="shared" si="13"/>
        <v>45</v>
      </c>
      <c r="AA613" s="87"/>
      <c r="AB613" s="87" t="s">
        <v>78</v>
      </c>
      <c r="AC613" s="87"/>
      <c r="AD613" s="99">
        <v>46043.0</v>
      </c>
      <c r="AE613" s="100">
        <f t="shared" si="8"/>
        <v>1</v>
      </c>
    </row>
    <row r="614" ht="15.75" customHeight="1">
      <c r="A614" s="59" t="s">
        <v>1871</v>
      </c>
      <c r="B614" s="59" t="s">
        <v>355</v>
      </c>
      <c r="C614" s="60" t="s">
        <v>1872</v>
      </c>
      <c r="D614" s="60" t="s">
        <v>51</v>
      </c>
      <c r="E614" s="60">
        <v>50.0</v>
      </c>
      <c r="F614" s="72">
        <v>177752.0</v>
      </c>
      <c r="G614" s="73" t="s">
        <v>53</v>
      </c>
      <c r="H614" s="74">
        <v>46266.0</v>
      </c>
      <c r="I614" s="67" t="s">
        <v>17</v>
      </c>
      <c r="J614" s="67" t="s">
        <v>54</v>
      </c>
      <c r="K614" s="67" t="s">
        <v>66</v>
      </c>
      <c r="L614" s="67" t="s">
        <v>56</v>
      </c>
      <c r="M614" s="73" t="s">
        <v>104</v>
      </c>
      <c r="N614" s="67" t="s">
        <v>58</v>
      </c>
      <c r="O614" s="59" t="s">
        <v>1128</v>
      </c>
      <c r="P614" s="59"/>
      <c r="Q614" s="59" t="s">
        <v>52</v>
      </c>
      <c r="R614" s="76" t="s">
        <v>71</v>
      </c>
      <c r="S614" s="59"/>
      <c r="T614" s="59"/>
      <c r="U614" s="77" t="s">
        <v>1873</v>
      </c>
      <c r="V614" s="77" t="str">
        <f t="array" ref="V614">IFERROR(INDEX(DFD!$F$2:$F$1048791,MATCH($Q614,DFD!$B$2:$B$1048791,0)),"")</f>
        <v/>
      </c>
      <c r="W614" s="84" t="str">
        <f t="array" ref="W614">IFERROR(INDEX(DFD!$E$2:$E$1048791,MATCH($Q614,DFD!$B$2:$B$1048791,0)),"")</f>
        <v/>
      </c>
      <c r="X614" s="84" t="str">
        <f t="array" ref="X614">IFERROR(INDEX(DFD!$K$2:$K$1048791,MATCH($Q614,DFD!$B$2:$B$1048791,0)),"")</f>
        <v/>
      </c>
      <c r="Y614" s="84" t="str">
        <f t="array" ref="Y614">IFERROR(INDEX(DFD!$L$2:$L$1048790,MATCH($Q614,DFD!$B$2:$B$1048790,0)),"")</f>
        <v/>
      </c>
      <c r="Z614" s="84">
        <f t="shared" si="13"/>
        <v>45</v>
      </c>
      <c r="AA614" s="59"/>
      <c r="AB614" s="59" t="s">
        <v>1131</v>
      </c>
      <c r="AC614" s="59"/>
      <c r="AD614" s="85">
        <v>46043.0</v>
      </c>
      <c r="AE614" s="86">
        <f t="shared" si="8"/>
        <v>1</v>
      </c>
    </row>
    <row r="615" ht="15.75" customHeight="1">
      <c r="A615" s="92" t="s">
        <v>1874</v>
      </c>
      <c r="B615" s="87" t="s">
        <v>49</v>
      </c>
      <c r="C615" s="88" t="s">
        <v>1875</v>
      </c>
      <c r="D615" s="88" t="s">
        <v>51</v>
      </c>
      <c r="E615" s="88">
        <v>1.0</v>
      </c>
      <c r="F615" s="89">
        <v>20556.0</v>
      </c>
      <c r="G615" s="90" t="s">
        <v>53</v>
      </c>
      <c r="H615" s="91">
        <v>46031.0</v>
      </c>
      <c r="I615" s="92" t="s">
        <v>18</v>
      </c>
      <c r="J615" s="92" t="s">
        <v>54</v>
      </c>
      <c r="K615" s="92" t="s">
        <v>83</v>
      </c>
      <c r="L615" s="92" t="s">
        <v>67</v>
      </c>
      <c r="M615" s="90" t="s">
        <v>117</v>
      </c>
      <c r="N615" s="92" t="s">
        <v>20</v>
      </c>
      <c r="O615" s="87" t="s">
        <v>69</v>
      </c>
      <c r="P615" s="87"/>
      <c r="Q615" s="87" t="s">
        <v>180</v>
      </c>
      <c r="R615" s="93" t="s">
        <v>181</v>
      </c>
      <c r="S615" s="87"/>
      <c r="T615" s="87"/>
      <c r="U615" s="94" t="str">
        <f t="array" ref="U615">IFERROR(INDEX(DFD!$D$2:$D$1048791,MATCH($Q615,DFD!$B$2:$B$1048791,0)),"")</f>
        <v/>
      </c>
      <c r="V615" s="94" t="str">
        <f t="array" ref="V615">IFERROR(INDEX(DFD!$F$2:$F$1048791,MATCH($Q615,DFD!$B$2:$B$1048791,0)),"")</f>
        <v/>
      </c>
      <c r="W615" s="97" t="str">
        <f t="array" ref="W615">IFERROR(INDEX(DFD!$E$2:$E$1048791,MATCH($Q615,DFD!$B$2:$B$1048791,0)),"")</f>
        <v/>
      </c>
      <c r="X615" s="97" t="str">
        <f t="array" ref="X615">IFERROR(INDEX(DFD!$K$2:$K$1048791,MATCH($Q615,DFD!$B$2:$B$1048791,0)),"")</f>
        <v/>
      </c>
      <c r="Y615" s="97" t="str">
        <f t="array" ref="Y615">IFERROR(INDEX(DFD!$L$2:$L$1048790,MATCH($Q615,DFD!$B$2:$B$1048790,0)),"")</f>
        <v/>
      </c>
      <c r="Z615" s="97">
        <f t="shared" si="13"/>
        <v>45</v>
      </c>
      <c r="AA615" s="87"/>
      <c r="AB615" s="87" t="s">
        <v>78</v>
      </c>
      <c r="AC615" s="87"/>
      <c r="AD615" s="99">
        <v>46043.0</v>
      </c>
      <c r="AE615" s="100">
        <f t="shared" si="8"/>
        <v>1</v>
      </c>
    </row>
    <row r="616" ht="15.75" customHeight="1">
      <c r="A616" s="59" t="s">
        <v>1876</v>
      </c>
      <c r="B616" s="59" t="s">
        <v>52</v>
      </c>
      <c r="C616" s="60" t="s">
        <v>1877</v>
      </c>
      <c r="D616" s="60" t="s">
        <v>51</v>
      </c>
      <c r="E616" s="60">
        <v>5000.0</v>
      </c>
      <c r="F616" s="72">
        <v>305000.0</v>
      </c>
      <c r="G616" s="73" t="s">
        <v>437</v>
      </c>
      <c r="H616" s="74">
        <v>46266.0</v>
      </c>
      <c r="I616" s="67" t="s">
        <v>17</v>
      </c>
      <c r="J616" s="67" t="s">
        <v>54</v>
      </c>
      <c r="K616" s="67" t="s">
        <v>721</v>
      </c>
      <c r="L616" s="67" t="s">
        <v>56</v>
      </c>
      <c r="M616" s="73" t="s">
        <v>167</v>
      </c>
      <c r="N616" s="67" t="s">
        <v>58</v>
      </c>
      <c r="O616" s="67" t="s">
        <v>89</v>
      </c>
      <c r="P616" s="59"/>
      <c r="Q616" s="59" t="s">
        <v>52</v>
      </c>
      <c r="R616" s="76" t="s">
        <v>1070</v>
      </c>
      <c r="S616" s="59"/>
      <c r="T616" s="59"/>
      <c r="U616" s="77" t="str">
        <f t="array" ref="U616">IFERROR(INDEX(DFD!$D$2:$D$1048791,MATCH($Q616,DFD!$B$2:$B$1048791,0)),"")</f>
        <v/>
      </c>
      <c r="V616" s="77" t="str">
        <f t="array" ref="V616">IFERROR(INDEX(DFD!$F$2:$F$1048791,MATCH($Q616,DFD!$B$2:$B$1048791,0)),"")</f>
        <v/>
      </c>
      <c r="W616" s="84" t="str">
        <f t="array" ref="W616">IFERROR(INDEX(DFD!$E$2:$E$1048791,MATCH($Q616,DFD!$B$2:$B$1048791,0)),"")</f>
        <v/>
      </c>
      <c r="X616" s="84" t="str">
        <f t="array" ref="X616">IFERROR(INDEX(DFD!$K$2:$K$1048791,MATCH($Q616,DFD!$B$2:$B$1048791,0)),"")</f>
        <v/>
      </c>
      <c r="Y616" s="84" t="str">
        <f t="array" ref="Y616">IFERROR(INDEX(DFD!$L$2:$L$1048790,MATCH($Q616,DFD!$B$2:$B$1048790,0)),"")</f>
        <v/>
      </c>
      <c r="Z616" s="84">
        <f t="shared" si="13"/>
        <v>45</v>
      </c>
      <c r="AA616" s="59"/>
      <c r="AB616" s="59" t="s">
        <v>72</v>
      </c>
      <c r="AC616" s="59"/>
      <c r="AD616" s="85">
        <v>46043.0</v>
      </c>
      <c r="AE616" s="86">
        <f t="shared" si="8"/>
        <v>1</v>
      </c>
    </row>
    <row r="617" ht="15.75" customHeight="1">
      <c r="A617" s="87" t="s">
        <v>1878</v>
      </c>
      <c r="B617" s="71" t="s">
        <v>101</v>
      </c>
      <c r="C617" s="88" t="s">
        <v>1879</v>
      </c>
      <c r="D617" s="88" t="s">
        <v>984</v>
      </c>
      <c r="E617" s="88">
        <v>4.0</v>
      </c>
      <c r="F617" s="89">
        <v>4800.0</v>
      </c>
      <c r="G617" s="90" t="s">
        <v>53</v>
      </c>
      <c r="H617" s="91">
        <v>46204.0</v>
      </c>
      <c r="I617" s="92" t="s">
        <v>17</v>
      </c>
      <c r="J617" s="92" t="s">
        <v>54</v>
      </c>
      <c r="K617" s="92" t="s">
        <v>66</v>
      </c>
      <c r="L617" s="92" t="s">
        <v>56</v>
      </c>
      <c r="M617" s="90" t="s">
        <v>68</v>
      </c>
      <c r="N617" s="92" t="s">
        <v>58</v>
      </c>
      <c r="O617" s="87" t="s">
        <v>69</v>
      </c>
      <c r="P617" s="87"/>
      <c r="Q617" s="87" t="s">
        <v>709</v>
      </c>
      <c r="R617" s="93" t="s">
        <v>373</v>
      </c>
      <c r="S617" s="87"/>
      <c r="T617" s="87"/>
      <c r="U617" s="94" t="str">
        <f t="array" ref="U617">IFERROR(INDEX(DFD!$D$2:$D$1048791,MATCH($Q617,DFD!$B$2:$B$1048791,0)),"")</f>
        <v/>
      </c>
      <c r="V617" s="94" t="s">
        <v>280</v>
      </c>
      <c r="W617" s="97" t="str">
        <f t="array" ref="W617">IFERROR(INDEX(DFD!$E$2:$E$1048791,MATCH($Q617,DFD!$B$2:$B$1048791,0)),"")</f>
        <v/>
      </c>
      <c r="X617" s="97" t="str">
        <f t="array" ref="X617">IFERROR(INDEX(DFD!$K$2:$K$1048791,MATCH($Q617,DFD!$B$2:$B$1048791,0)),"")</f>
        <v/>
      </c>
      <c r="Y617" s="97" t="str">
        <f t="array" ref="Y617">IFERROR(INDEX(DFD!$L$2:$L$1048790,MATCH($Q617,DFD!$B$2:$B$1048790,0)),"")</f>
        <v/>
      </c>
      <c r="Z617" s="97">
        <f t="shared" si="13"/>
        <v>45</v>
      </c>
      <c r="AA617" s="87"/>
      <c r="AB617" s="87" t="s">
        <v>78</v>
      </c>
      <c r="AC617" s="87"/>
      <c r="AD617" s="99">
        <v>46043.0</v>
      </c>
      <c r="AE617" s="100">
        <f t="shared" si="8"/>
        <v>1</v>
      </c>
    </row>
    <row r="618" ht="15.75" customHeight="1">
      <c r="A618" s="67" t="s">
        <v>1880</v>
      </c>
      <c r="B618" s="59" t="s">
        <v>184</v>
      </c>
      <c r="C618" s="60" t="s">
        <v>1881</v>
      </c>
      <c r="D618" s="60" t="s">
        <v>51</v>
      </c>
      <c r="E618" s="60">
        <v>30.0</v>
      </c>
      <c r="F618" s="72">
        <v>15000.0</v>
      </c>
      <c r="G618" s="73" t="s">
        <v>53</v>
      </c>
      <c r="H618" s="74">
        <v>46235.0</v>
      </c>
      <c r="I618" s="67" t="s">
        <v>17</v>
      </c>
      <c r="J618" s="67" t="s">
        <v>54</v>
      </c>
      <c r="K618" s="67" t="s">
        <v>66</v>
      </c>
      <c r="L618" s="67" t="s">
        <v>67</v>
      </c>
      <c r="M618" s="73" t="s">
        <v>104</v>
      </c>
      <c r="N618" s="67" t="s">
        <v>20</v>
      </c>
      <c r="O618" s="59" t="s">
        <v>69</v>
      </c>
      <c r="P618" s="59"/>
      <c r="Q618" s="59" t="s">
        <v>264</v>
      </c>
      <c r="R618" s="76" t="s">
        <v>187</v>
      </c>
      <c r="S618" s="59"/>
      <c r="T618" s="59"/>
      <c r="U618" s="77" t="str">
        <f t="array" ref="U618">IFERROR(INDEX(DFD!$D$2:$D$1048791,MATCH($Q618,DFD!$B$2:$B$1048791,0)),"")</f>
        <v/>
      </c>
      <c r="V618" s="77" t="str">
        <f t="array" ref="V618">IFERROR(INDEX(DFD!$F$2:$F$1048791,MATCH($Q618,DFD!$B$2:$B$1048791,0)),"")</f>
        <v/>
      </c>
      <c r="W618" s="84" t="str">
        <f t="array" ref="W618">IFERROR(INDEX(DFD!$E$2:$E$1048791,MATCH($Q618,DFD!$B$2:$B$1048791,0)),"")</f>
        <v/>
      </c>
      <c r="X618" s="84" t="str">
        <f t="array" ref="X618">IFERROR(INDEX(DFD!$K$2:$K$1048791,MATCH($Q618,DFD!$B$2:$B$1048791,0)),"")</f>
        <v/>
      </c>
      <c r="Y618" s="84" t="str">
        <f t="array" ref="Y618">IFERROR(INDEX(DFD!$L$2:$L$1048790,MATCH($Q618,DFD!$B$2:$B$1048790,0)),"")</f>
        <v/>
      </c>
      <c r="Z618" s="84">
        <f t="shared" si="13"/>
        <v>45</v>
      </c>
      <c r="AA618" s="59"/>
      <c r="AB618" s="59" t="s">
        <v>78</v>
      </c>
      <c r="AC618" s="59"/>
      <c r="AD618" s="85">
        <v>46043.0</v>
      </c>
      <c r="AE618" s="86">
        <f t="shared" si="8"/>
        <v>1</v>
      </c>
    </row>
    <row r="619" ht="15.75" customHeight="1">
      <c r="A619" s="92" t="s">
        <v>1882</v>
      </c>
      <c r="B619" s="87" t="s">
        <v>184</v>
      </c>
      <c r="C619" s="88" t="s">
        <v>1883</v>
      </c>
      <c r="D619" s="88" t="s">
        <v>51</v>
      </c>
      <c r="E619" s="88">
        <v>50.0</v>
      </c>
      <c r="F619" s="89">
        <v>6350.0</v>
      </c>
      <c r="G619" s="90" t="s">
        <v>53</v>
      </c>
      <c r="H619" s="91">
        <v>46204.0</v>
      </c>
      <c r="I619" s="92" t="s">
        <v>17</v>
      </c>
      <c r="J619" s="92" t="s">
        <v>54</v>
      </c>
      <c r="K619" s="92" t="s">
        <v>66</v>
      </c>
      <c r="L619" s="92" t="s">
        <v>67</v>
      </c>
      <c r="M619" s="90" t="s">
        <v>68</v>
      </c>
      <c r="N619" s="92" t="s">
        <v>20</v>
      </c>
      <c r="O619" s="92" t="s">
        <v>89</v>
      </c>
      <c r="P619" s="87"/>
      <c r="Q619" s="87" t="s">
        <v>1884</v>
      </c>
      <c r="R619" s="93" t="s">
        <v>269</v>
      </c>
      <c r="S619" s="87"/>
      <c r="T619" s="87"/>
      <c r="U619" s="94" t="str">
        <f t="array" ref="U619">IFERROR(INDEX(DFD!$D$2:$D$1048791,MATCH($Q619,DFD!$B$2:$B$1048791,0)),"")</f>
        <v/>
      </c>
      <c r="V619" s="94" t="str">
        <f t="array" ref="V619">IFERROR(INDEX(DFD!$F$2:$F$1048791,MATCH($Q619,DFD!$B$2:$B$1048791,0)),"")</f>
        <v/>
      </c>
      <c r="W619" s="97" t="str">
        <f t="array" ref="W619">IFERROR(INDEX(DFD!$E$2:$E$1048791,MATCH($Q619,DFD!$B$2:$B$1048791,0)),"")</f>
        <v/>
      </c>
      <c r="X619" s="97" t="str">
        <f t="array" ref="X619">IFERROR(INDEX(DFD!$K$2:$K$1048791,MATCH($Q619,DFD!$B$2:$B$1048791,0)),"")</f>
        <v/>
      </c>
      <c r="Y619" s="97" t="str">
        <f t="array" ref="Y619">IFERROR(INDEX(DFD!$L$2:$L$1048790,MATCH($Q619,DFD!$B$2:$B$1048790,0)),"")</f>
        <v/>
      </c>
      <c r="Z619" s="97">
        <f t="shared" si="13"/>
        <v>45</v>
      </c>
      <c r="AA619" s="87"/>
      <c r="AB619" s="87" t="s">
        <v>78</v>
      </c>
      <c r="AC619" s="87"/>
      <c r="AD619" s="99">
        <v>46043.0</v>
      </c>
      <c r="AE619" s="100">
        <f t="shared" si="8"/>
        <v>1</v>
      </c>
    </row>
    <row r="620" ht="15.75" customHeight="1">
      <c r="A620" s="67" t="s">
        <v>1885</v>
      </c>
      <c r="B620" s="59" t="s">
        <v>184</v>
      </c>
      <c r="C620" s="60" t="s">
        <v>1886</v>
      </c>
      <c r="D620" s="60" t="s">
        <v>51</v>
      </c>
      <c r="E620" s="60">
        <v>5.0</v>
      </c>
      <c r="F620" s="72">
        <v>350.0</v>
      </c>
      <c r="G620" s="73" t="s">
        <v>53</v>
      </c>
      <c r="H620" s="74">
        <v>46031.0</v>
      </c>
      <c r="I620" s="67" t="s">
        <v>17</v>
      </c>
      <c r="J620" s="67" t="s">
        <v>54</v>
      </c>
      <c r="K620" s="67" t="s">
        <v>372</v>
      </c>
      <c r="L620" s="67" t="s">
        <v>67</v>
      </c>
      <c r="M620" s="73" t="s">
        <v>104</v>
      </c>
      <c r="N620" s="67" t="s">
        <v>20</v>
      </c>
      <c r="O620" s="59" t="s">
        <v>69</v>
      </c>
      <c r="P620" s="59"/>
      <c r="Q620" s="59" t="s">
        <v>113</v>
      </c>
      <c r="R620" s="76" t="s">
        <v>503</v>
      </c>
      <c r="S620" s="120"/>
      <c r="T620" s="59"/>
      <c r="U620" s="77" t="str">
        <f t="array" ref="U620">IFERROR(INDEX(DFD!$D$2:$D$1048791,MATCH($Q620,DFD!$B$2:$B$1048791,0)),"")</f>
        <v/>
      </c>
      <c r="V620" s="77" t="str">
        <f t="array" ref="V620">IFERROR(INDEX(DFD!$F$2:$F$1048791,MATCH($Q620,DFD!$B$2:$B$1048791,0)),"")</f>
        <v/>
      </c>
      <c r="W620" s="84" t="str">
        <f t="array" ref="W620">IFERROR(INDEX(DFD!$E$2:$E$1048791,MATCH($Q620,DFD!$B$2:$B$1048791,0)),"")</f>
        <v/>
      </c>
      <c r="X620" s="84" t="str">
        <f t="array" ref="X620">IFERROR(INDEX(DFD!$K$2:$K$1048791,MATCH($Q620,DFD!$B$2:$B$1048791,0)),"")</f>
        <v/>
      </c>
      <c r="Y620" s="84" t="str">
        <f t="array" ref="Y620">IFERROR(INDEX(DFD!$L$2:$L$1048790,MATCH($Q620,DFD!$B$2:$B$1048790,0)),"")</f>
        <v/>
      </c>
      <c r="Z620" s="84">
        <f t="shared" si="13"/>
        <v>45</v>
      </c>
      <c r="AA620" s="59" t="s">
        <v>746</v>
      </c>
      <c r="AB620" s="59" t="s">
        <v>78</v>
      </c>
      <c r="AC620" s="59"/>
      <c r="AD620" s="85">
        <v>46043.0</v>
      </c>
      <c r="AE620" s="86">
        <f t="shared" si="8"/>
        <v>1</v>
      </c>
    </row>
    <row r="621" ht="15.75" customHeight="1">
      <c r="A621" s="87" t="s">
        <v>1887</v>
      </c>
      <c r="B621" s="87" t="s">
        <v>101</v>
      </c>
      <c r="C621" s="88" t="s">
        <v>1888</v>
      </c>
      <c r="D621" s="88" t="s">
        <v>984</v>
      </c>
      <c r="E621" s="88">
        <v>5.0</v>
      </c>
      <c r="F621" s="89">
        <v>650.0</v>
      </c>
      <c r="G621" s="90" t="s">
        <v>53</v>
      </c>
      <c r="H621" s="91">
        <v>46174.0</v>
      </c>
      <c r="I621" s="92" t="s">
        <v>17</v>
      </c>
      <c r="J621" s="92" t="s">
        <v>54</v>
      </c>
      <c r="K621" s="92" t="s">
        <v>66</v>
      </c>
      <c r="L621" s="92" t="s">
        <v>67</v>
      </c>
      <c r="M621" s="90" t="s">
        <v>57</v>
      </c>
      <c r="N621" s="92" t="s">
        <v>5</v>
      </c>
      <c r="O621" s="87" t="s">
        <v>69</v>
      </c>
      <c r="P621" s="87"/>
      <c r="Q621" s="87" t="s">
        <v>1884</v>
      </c>
      <c r="R621" s="93" t="s">
        <v>269</v>
      </c>
      <c r="S621" s="87"/>
      <c r="T621" s="87"/>
      <c r="U621" s="94" t="str">
        <f t="array" ref="U621">IFERROR(INDEX(DFD!$D$2:$D$1048791,MATCH($Q621,DFD!$B$2:$B$1048791,0)),"")</f>
        <v/>
      </c>
      <c r="V621" s="94" t="str">
        <f t="array" ref="V621">IFERROR(INDEX(DFD!$F$2:$F$1048791,MATCH($Q621,DFD!$B$2:$B$1048791,0)),"")</f>
        <v/>
      </c>
      <c r="W621" s="97" t="str">
        <f t="array" ref="W621">IFERROR(INDEX(DFD!$E$2:$E$1048791,MATCH($Q621,DFD!$B$2:$B$1048791,0)),"")</f>
        <v/>
      </c>
      <c r="X621" s="97" t="str">
        <f t="array" ref="X621">IFERROR(INDEX(DFD!$K$2:$K$1048791,MATCH($Q621,DFD!$B$2:$B$1048791,0)),"")</f>
        <v/>
      </c>
      <c r="Y621" s="97" t="str">
        <f t="array" ref="Y621">IFERROR(INDEX(DFD!$L$2:$L$1048790,MATCH($Q621,DFD!$B$2:$B$1048790,0)),"")</f>
        <v/>
      </c>
      <c r="Z621" s="97">
        <f t="shared" si="13"/>
        <v>45</v>
      </c>
      <c r="AA621" s="87"/>
      <c r="AB621" s="87" t="s">
        <v>78</v>
      </c>
      <c r="AC621" s="87"/>
      <c r="AD621" s="99">
        <v>46043.0</v>
      </c>
      <c r="AE621" s="100">
        <f t="shared" si="8"/>
        <v>1</v>
      </c>
    </row>
    <row r="622" ht="15.75" customHeight="1">
      <c r="A622" s="59" t="s">
        <v>1889</v>
      </c>
      <c r="B622" s="59" t="s">
        <v>87</v>
      </c>
      <c r="C622" s="60" t="s">
        <v>1890</v>
      </c>
      <c r="D622" s="60" t="s">
        <v>1105</v>
      </c>
      <c r="E622" s="60">
        <v>7.0</v>
      </c>
      <c r="F622" s="72">
        <v>350.0</v>
      </c>
      <c r="G622" s="73" t="s">
        <v>53</v>
      </c>
      <c r="H622" s="74">
        <v>46174.0</v>
      </c>
      <c r="I622" s="67" t="s">
        <v>17</v>
      </c>
      <c r="J622" s="67" t="s">
        <v>54</v>
      </c>
      <c r="K622" s="67" t="s">
        <v>66</v>
      </c>
      <c r="L622" s="67" t="s">
        <v>67</v>
      </c>
      <c r="M622" s="73" t="s">
        <v>104</v>
      </c>
      <c r="N622" s="67" t="s">
        <v>5</v>
      </c>
      <c r="O622" s="67" t="s">
        <v>89</v>
      </c>
      <c r="P622" s="59"/>
      <c r="Q622" s="59" t="s">
        <v>576</v>
      </c>
      <c r="R622" s="76" t="s">
        <v>577</v>
      </c>
      <c r="S622" s="59"/>
      <c r="T622" s="59"/>
      <c r="U622" s="77" t="str">
        <f t="array" ref="U622">IFERROR(INDEX(DFD!$D$2:$D$1048791,MATCH($Q622,DFD!$B$2:$B$1048791,0)),"")</f>
        <v/>
      </c>
      <c r="V622" s="77" t="s">
        <v>280</v>
      </c>
      <c r="W622" s="84" t="str">
        <f t="array" ref="W622">IFERROR(INDEX(DFD!$E$2:$E$1048791,MATCH($Q622,DFD!$B$2:$B$1048791,0)),"")</f>
        <v/>
      </c>
      <c r="X622" s="84" t="str">
        <f t="array" ref="X622">IFERROR(INDEX(DFD!$K$2:$K$1048791,MATCH($Q622,DFD!$B$2:$B$1048791,0)),"")</f>
        <v/>
      </c>
      <c r="Y622" s="84" t="str">
        <f t="array" ref="Y622">IFERROR(INDEX(DFD!$L$2:$L$1048790,MATCH($Q622,DFD!$B$2:$B$1048790,0)),"")</f>
        <v/>
      </c>
      <c r="Z622" s="84">
        <f t="shared" si="13"/>
        <v>45</v>
      </c>
      <c r="AA622" s="59"/>
      <c r="AB622" s="59" t="s">
        <v>78</v>
      </c>
      <c r="AC622" s="59"/>
      <c r="AD622" s="85">
        <v>46043.0</v>
      </c>
      <c r="AE622" s="86">
        <f t="shared" si="8"/>
        <v>1</v>
      </c>
    </row>
    <row r="623" ht="15.75" customHeight="1">
      <c r="A623" s="87" t="s">
        <v>1891</v>
      </c>
      <c r="B623" s="87" t="s">
        <v>107</v>
      </c>
      <c r="C623" s="88" t="s">
        <v>1892</v>
      </c>
      <c r="D623" s="88" t="s">
        <v>51</v>
      </c>
      <c r="E623" s="88">
        <v>20.0</v>
      </c>
      <c r="F623" s="89">
        <v>600.0</v>
      </c>
      <c r="G623" s="90" t="s">
        <v>53</v>
      </c>
      <c r="H623" s="91">
        <v>46174.0</v>
      </c>
      <c r="I623" s="92" t="s">
        <v>17</v>
      </c>
      <c r="J623" s="92" t="s">
        <v>54</v>
      </c>
      <c r="K623" s="92" t="s">
        <v>66</v>
      </c>
      <c r="L623" s="92" t="s">
        <v>67</v>
      </c>
      <c r="M623" s="90" t="s">
        <v>167</v>
      </c>
      <c r="N623" s="92" t="s">
        <v>5</v>
      </c>
      <c r="O623" s="87" t="s">
        <v>69</v>
      </c>
      <c r="P623" s="87"/>
      <c r="Q623" s="87" t="s">
        <v>1893</v>
      </c>
      <c r="R623" s="93" t="s">
        <v>616</v>
      </c>
      <c r="S623" s="87"/>
      <c r="T623" s="87"/>
      <c r="U623" s="94" t="str">
        <f t="array" ref="U623">IFERROR(INDEX(DFD!$D$2:$D$1048791,MATCH($Q623,DFD!$B$2:$B$1048791,0)),"")</f>
        <v/>
      </c>
      <c r="V623" s="94" t="str">
        <f t="array" ref="V623">IFERROR(INDEX(DFD!$F$2:$F$1048791,MATCH($Q623,DFD!$B$2:$B$1048791,0)),"")</f>
        <v/>
      </c>
      <c r="W623" s="97" t="str">
        <f t="array" ref="W623">IFERROR(INDEX(DFD!$E$2:$E$1048791,MATCH($Q623,DFD!$B$2:$B$1048791,0)),"")</f>
        <v/>
      </c>
      <c r="X623" s="97" t="str">
        <f t="array" ref="X623">IFERROR(INDEX(DFD!$K$2:$K$1048791,MATCH($Q623,DFD!$B$2:$B$1048791,0)),"")</f>
        <v/>
      </c>
      <c r="Y623" s="97" t="str">
        <f t="array" ref="Y623">IFERROR(INDEX(DFD!$L$2:$L$1048790,MATCH($Q623,DFD!$B$2:$B$1048790,0)),"")</f>
        <v/>
      </c>
      <c r="Z623" s="97">
        <f t="shared" si="13"/>
        <v>45</v>
      </c>
      <c r="AA623" s="87"/>
      <c r="AB623" s="87" t="s">
        <v>78</v>
      </c>
      <c r="AC623" s="87"/>
      <c r="AD623" s="99">
        <v>46043.0</v>
      </c>
      <c r="AE623" s="100">
        <f t="shared" si="8"/>
        <v>1</v>
      </c>
    </row>
    <row r="624" ht="15.75" customHeight="1">
      <c r="A624" s="59" t="s">
        <v>1894</v>
      </c>
      <c r="B624" s="59" t="s">
        <v>98</v>
      </c>
      <c r="C624" s="60" t="s">
        <v>1895</v>
      </c>
      <c r="D624" s="60" t="s">
        <v>51</v>
      </c>
      <c r="E624" s="60">
        <v>10.0</v>
      </c>
      <c r="F624" s="72">
        <v>500.0</v>
      </c>
      <c r="G624" s="73" t="s">
        <v>53</v>
      </c>
      <c r="H624" s="74">
        <v>46174.0</v>
      </c>
      <c r="I624" s="67" t="s">
        <v>17</v>
      </c>
      <c r="J624" s="67" t="s">
        <v>54</v>
      </c>
      <c r="K624" s="67" t="s">
        <v>66</v>
      </c>
      <c r="L624" s="67" t="s">
        <v>67</v>
      </c>
      <c r="M624" s="73" t="s">
        <v>167</v>
      </c>
      <c r="N624" s="67" t="s">
        <v>5</v>
      </c>
      <c r="O624" s="59" t="s">
        <v>69</v>
      </c>
      <c r="P624" s="59"/>
      <c r="Q624" s="59" t="s">
        <v>1893</v>
      </c>
      <c r="R624" s="76" t="s">
        <v>616</v>
      </c>
      <c r="S624" s="59"/>
      <c r="T624" s="59"/>
      <c r="U624" s="77" t="str">
        <f t="array" ref="U624">IFERROR(INDEX(DFD!$D$2:$D$1048791,MATCH($Q624,DFD!$B$2:$B$1048791,0)),"")</f>
        <v/>
      </c>
      <c r="V624" s="77" t="str">
        <f t="array" ref="V624">IFERROR(INDEX(DFD!$F$2:$F$1048791,MATCH($Q624,DFD!$B$2:$B$1048791,0)),"")</f>
        <v/>
      </c>
      <c r="W624" s="84" t="str">
        <f t="array" ref="W624">IFERROR(INDEX(DFD!$E$2:$E$1048791,MATCH($Q624,DFD!$B$2:$B$1048791,0)),"")</f>
        <v/>
      </c>
      <c r="X624" s="84" t="str">
        <f t="array" ref="X624">IFERROR(INDEX(DFD!$K$2:$K$1048791,MATCH($Q624,DFD!$B$2:$B$1048791,0)),"")</f>
        <v/>
      </c>
      <c r="Y624" s="84" t="str">
        <f t="array" ref="Y624">IFERROR(INDEX(DFD!$L$2:$L$1048790,MATCH($Q624,DFD!$B$2:$B$1048790,0)),"")</f>
        <v/>
      </c>
      <c r="Z624" s="84">
        <f t="shared" si="13"/>
        <v>45</v>
      </c>
      <c r="AA624" s="59"/>
      <c r="AB624" s="59" t="s">
        <v>78</v>
      </c>
      <c r="AC624" s="59"/>
      <c r="AD624" s="85">
        <v>46043.0</v>
      </c>
      <c r="AE624" s="86">
        <f t="shared" si="8"/>
        <v>1</v>
      </c>
    </row>
    <row r="625" ht="15.75" customHeight="1">
      <c r="A625" s="92" t="s">
        <v>1896</v>
      </c>
      <c r="B625" s="87" t="s">
        <v>184</v>
      </c>
      <c r="C625" s="88" t="s">
        <v>1897</v>
      </c>
      <c r="D625" s="88" t="s">
        <v>51</v>
      </c>
      <c r="E625" s="88">
        <v>200.0</v>
      </c>
      <c r="F625" s="89">
        <v>2196.0</v>
      </c>
      <c r="G625" s="90" t="s">
        <v>53</v>
      </c>
      <c r="H625" s="91">
        <v>46174.0</v>
      </c>
      <c r="I625" s="92" t="s">
        <v>17</v>
      </c>
      <c r="J625" s="92" t="s">
        <v>54</v>
      </c>
      <c r="K625" s="92" t="s">
        <v>66</v>
      </c>
      <c r="L625" s="92" t="s">
        <v>67</v>
      </c>
      <c r="M625" s="90" t="s">
        <v>167</v>
      </c>
      <c r="N625" s="92" t="s">
        <v>20</v>
      </c>
      <c r="O625" s="92" t="s">
        <v>89</v>
      </c>
      <c r="P625" s="87"/>
      <c r="Q625" s="87" t="s">
        <v>1893</v>
      </c>
      <c r="R625" s="93" t="s">
        <v>616</v>
      </c>
      <c r="S625" s="87"/>
      <c r="T625" s="87"/>
      <c r="U625" s="94" t="str">
        <f t="array" ref="U625">IFERROR(INDEX(DFD!$D$2:$D$1048791,MATCH($Q625,DFD!$B$2:$B$1048791,0)),"")</f>
        <v/>
      </c>
      <c r="V625" s="94" t="str">
        <f t="array" ref="V625">IFERROR(INDEX(DFD!$F$2:$F$1048791,MATCH($Q625,DFD!$B$2:$B$1048791,0)),"")</f>
        <v/>
      </c>
      <c r="W625" s="97" t="str">
        <f t="array" ref="W625">IFERROR(INDEX(DFD!$E$2:$E$1048791,MATCH($Q625,DFD!$B$2:$B$1048791,0)),"")</f>
        <v/>
      </c>
      <c r="X625" s="97" t="str">
        <f t="array" ref="X625">IFERROR(INDEX(DFD!$K$2:$K$1048791,MATCH($Q625,DFD!$B$2:$B$1048791,0)),"")</f>
        <v/>
      </c>
      <c r="Y625" s="97" t="str">
        <f t="array" ref="Y625">IFERROR(INDEX(DFD!$L$2:$L$1048790,MATCH($Q625,DFD!$B$2:$B$1048790,0)),"")</f>
        <v/>
      </c>
      <c r="Z625" s="97">
        <f t="shared" si="13"/>
        <v>45</v>
      </c>
      <c r="AA625" s="87"/>
      <c r="AB625" s="87" t="s">
        <v>78</v>
      </c>
      <c r="AC625" s="87"/>
      <c r="AD625" s="99">
        <v>46043.0</v>
      </c>
      <c r="AE625" s="100">
        <f t="shared" si="8"/>
        <v>1</v>
      </c>
    </row>
    <row r="626" ht="15.75" customHeight="1">
      <c r="A626" s="59" t="s">
        <v>1898</v>
      </c>
      <c r="B626" s="59" t="s">
        <v>94</v>
      </c>
      <c r="C626" s="60" t="s">
        <v>1899</v>
      </c>
      <c r="D626" s="60" t="s">
        <v>51</v>
      </c>
      <c r="E626" s="60">
        <v>100.0</v>
      </c>
      <c r="F626" s="72">
        <v>1490.0</v>
      </c>
      <c r="G626" s="73" t="s">
        <v>53</v>
      </c>
      <c r="H626" s="74">
        <v>46174.0</v>
      </c>
      <c r="I626" s="67" t="s">
        <v>17</v>
      </c>
      <c r="J626" s="67" t="s">
        <v>54</v>
      </c>
      <c r="K626" s="67" t="s">
        <v>66</v>
      </c>
      <c r="L626" s="67" t="s">
        <v>67</v>
      </c>
      <c r="M626" s="73" t="s">
        <v>167</v>
      </c>
      <c r="N626" s="67" t="s">
        <v>5</v>
      </c>
      <c r="O626" s="59" t="s">
        <v>69</v>
      </c>
      <c r="P626" s="59"/>
      <c r="Q626" s="59" t="s">
        <v>1893</v>
      </c>
      <c r="R626" s="76" t="s">
        <v>616</v>
      </c>
      <c r="S626" s="59"/>
      <c r="T626" s="59"/>
      <c r="U626" s="77" t="str">
        <f t="array" ref="U626">IFERROR(INDEX(DFD!$D$2:$D$1048791,MATCH($Q626,DFD!$B$2:$B$1048791,0)),"")</f>
        <v/>
      </c>
      <c r="V626" s="77" t="str">
        <f t="array" ref="V626">IFERROR(INDEX(DFD!$F$2:$F$1048791,MATCH($Q626,DFD!$B$2:$B$1048791,0)),"")</f>
        <v/>
      </c>
      <c r="W626" s="84" t="str">
        <f t="array" ref="W626">IFERROR(INDEX(DFD!$E$2:$E$1048791,MATCH($Q626,DFD!$B$2:$B$1048791,0)),"")</f>
        <v/>
      </c>
      <c r="X626" s="84" t="str">
        <f t="array" ref="X626">IFERROR(INDEX(DFD!$K$2:$K$1048791,MATCH($Q626,DFD!$B$2:$B$1048791,0)),"")</f>
        <v/>
      </c>
      <c r="Y626" s="84" t="str">
        <f t="array" ref="Y626">IFERROR(INDEX(DFD!$L$2:$L$1048790,MATCH($Q626,DFD!$B$2:$B$1048790,0)),"")</f>
        <v/>
      </c>
      <c r="Z626" s="84">
        <f t="shared" si="13"/>
        <v>45</v>
      </c>
      <c r="AA626" s="59"/>
      <c r="AB626" s="59" t="s">
        <v>78</v>
      </c>
      <c r="AC626" s="59"/>
      <c r="AD626" s="85">
        <v>46043.0</v>
      </c>
      <c r="AE626" s="86">
        <f t="shared" si="8"/>
        <v>1</v>
      </c>
    </row>
    <row r="627" ht="15.75" customHeight="1">
      <c r="A627" s="92" t="s">
        <v>1900</v>
      </c>
      <c r="B627" s="71" t="s">
        <v>184</v>
      </c>
      <c r="C627" s="88" t="s">
        <v>1901</v>
      </c>
      <c r="D627" s="88" t="s">
        <v>51</v>
      </c>
      <c r="E627" s="88">
        <v>300.0</v>
      </c>
      <c r="F627" s="89">
        <v>4740.0</v>
      </c>
      <c r="G627" s="90" t="s">
        <v>53</v>
      </c>
      <c r="H627" s="91">
        <v>46204.0</v>
      </c>
      <c r="I627" s="92" t="s">
        <v>17</v>
      </c>
      <c r="J627" s="92" t="s">
        <v>54</v>
      </c>
      <c r="K627" s="92" t="s">
        <v>66</v>
      </c>
      <c r="L627" s="92" t="s">
        <v>67</v>
      </c>
      <c r="M627" s="90" t="s">
        <v>167</v>
      </c>
      <c r="N627" s="92" t="s">
        <v>20</v>
      </c>
      <c r="O627" s="87" t="s">
        <v>69</v>
      </c>
      <c r="P627" s="87"/>
      <c r="Q627" s="87" t="s">
        <v>1893</v>
      </c>
      <c r="R627" s="93" t="s">
        <v>616</v>
      </c>
      <c r="S627" s="87"/>
      <c r="T627" s="87"/>
      <c r="U627" s="94" t="str">
        <f t="array" ref="U627">IFERROR(INDEX(DFD!$D$2:$D$1048791,MATCH($Q627,DFD!$B$2:$B$1048791,0)),"")</f>
        <v/>
      </c>
      <c r="V627" s="94" t="str">
        <f t="array" ref="V627">IFERROR(INDEX(DFD!$F$2:$F$1048791,MATCH($Q627,DFD!$B$2:$B$1048791,0)),"")</f>
        <v/>
      </c>
      <c r="W627" s="97" t="str">
        <f t="array" ref="W627">IFERROR(INDEX(DFD!$E$2:$E$1048791,MATCH($Q627,DFD!$B$2:$B$1048791,0)),"")</f>
        <v/>
      </c>
      <c r="X627" s="97" t="str">
        <f t="array" ref="X627">IFERROR(INDEX(DFD!$K$2:$K$1048791,MATCH($Q627,DFD!$B$2:$B$1048791,0)),"")</f>
        <v/>
      </c>
      <c r="Y627" s="97" t="str">
        <f t="array" ref="Y627">IFERROR(INDEX(DFD!$L$2:$L$1048790,MATCH($Q627,DFD!$B$2:$B$1048790,0)),"")</f>
        <v/>
      </c>
      <c r="Z627" s="97">
        <f t="shared" si="13"/>
        <v>45</v>
      </c>
      <c r="AA627" s="87"/>
      <c r="AB627" s="87" t="s">
        <v>78</v>
      </c>
      <c r="AC627" s="87"/>
      <c r="AD627" s="99">
        <v>46043.0</v>
      </c>
      <c r="AE627" s="100">
        <f t="shared" si="8"/>
        <v>1</v>
      </c>
    </row>
    <row r="628" ht="15.75" customHeight="1">
      <c r="A628" s="67" t="s">
        <v>1902</v>
      </c>
      <c r="B628" s="59" t="s">
        <v>184</v>
      </c>
      <c r="C628" s="60" t="s">
        <v>1903</v>
      </c>
      <c r="D628" s="60" t="s">
        <v>51</v>
      </c>
      <c r="E628" s="60">
        <v>500.0</v>
      </c>
      <c r="F628" s="72">
        <v>8000.0</v>
      </c>
      <c r="G628" s="73" t="s">
        <v>53</v>
      </c>
      <c r="H628" s="74">
        <v>46204.0</v>
      </c>
      <c r="I628" s="67" t="s">
        <v>17</v>
      </c>
      <c r="J628" s="67" t="s">
        <v>54</v>
      </c>
      <c r="K628" s="67" t="s">
        <v>66</v>
      </c>
      <c r="L628" s="67" t="s">
        <v>67</v>
      </c>
      <c r="M628" s="73" t="s">
        <v>167</v>
      </c>
      <c r="N628" s="67" t="s">
        <v>20</v>
      </c>
      <c r="O628" s="67" t="s">
        <v>89</v>
      </c>
      <c r="P628" s="59"/>
      <c r="Q628" s="59" t="s">
        <v>1893</v>
      </c>
      <c r="R628" s="76" t="s">
        <v>616</v>
      </c>
      <c r="S628" s="59"/>
      <c r="T628" s="59"/>
      <c r="U628" s="77" t="str">
        <f t="array" ref="U628">IFERROR(INDEX(DFD!$D$2:$D$1048791,MATCH($Q628,DFD!$B$2:$B$1048791,0)),"")</f>
        <v/>
      </c>
      <c r="V628" s="77" t="str">
        <f t="array" ref="V628">IFERROR(INDEX(DFD!$F$2:$F$1048791,MATCH($Q628,DFD!$B$2:$B$1048791,0)),"")</f>
        <v/>
      </c>
      <c r="W628" s="84" t="str">
        <f t="array" ref="W628">IFERROR(INDEX(DFD!$E$2:$E$1048791,MATCH($Q628,DFD!$B$2:$B$1048791,0)),"")</f>
        <v/>
      </c>
      <c r="X628" s="84" t="str">
        <f t="array" ref="X628">IFERROR(INDEX(DFD!$K$2:$K$1048791,MATCH($Q628,DFD!$B$2:$B$1048791,0)),"")</f>
        <v/>
      </c>
      <c r="Y628" s="84" t="str">
        <f t="array" ref="Y628">IFERROR(INDEX(DFD!$L$2:$L$1048790,MATCH($Q628,DFD!$B$2:$B$1048790,0)),"")</f>
        <v/>
      </c>
      <c r="Z628" s="84">
        <f t="shared" si="13"/>
        <v>45</v>
      </c>
      <c r="AA628" s="59"/>
      <c r="AB628" s="59" t="s">
        <v>78</v>
      </c>
      <c r="AC628" s="59"/>
      <c r="AD628" s="85">
        <v>46043.0</v>
      </c>
      <c r="AE628" s="86">
        <f t="shared" si="8"/>
        <v>1</v>
      </c>
    </row>
    <row r="629" ht="15.75" customHeight="1">
      <c r="A629" s="87" t="s">
        <v>1904</v>
      </c>
      <c r="B629" s="87" t="s">
        <v>92</v>
      </c>
      <c r="C629" s="88" t="s">
        <v>1905</v>
      </c>
      <c r="D629" s="88" t="s">
        <v>51</v>
      </c>
      <c r="E629" s="88">
        <v>4.0</v>
      </c>
      <c r="F629" s="89">
        <v>236.0</v>
      </c>
      <c r="G629" s="90" t="s">
        <v>53</v>
      </c>
      <c r="H629" s="91">
        <v>46143.0</v>
      </c>
      <c r="I629" s="92" t="s">
        <v>17</v>
      </c>
      <c r="J629" s="92" t="s">
        <v>54</v>
      </c>
      <c r="K629" s="92" t="s">
        <v>66</v>
      </c>
      <c r="L629" s="92" t="s">
        <v>67</v>
      </c>
      <c r="M629" s="90" t="s">
        <v>104</v>
      </c>
      <c r="N629" s="92" t="s">
        <v>5</v>
      </c>
      <c r="O629" s="87" t="s">
        <v>69</v>
      </c>
      <c r="P629" s="87"/>
      <c r="Q629" s="87" t="s">
        <v>118</v>
      </c>
      <c r="R629" s="93" t="s">
        <v>71</v>
      </c>
      <c r="S629" s="87"/>
      <c r="T629" s="87"/>
      <c r="U629" s="94" t="str">
        <f t="array" ref="U629">IFERROR(INDEX(DFD!$D$2:$D$1048791,MATCH($Q629,DFD!$B$2:$B$1048791,0)),"")</f>
        <v/>
      </c>
      <c r="V629" s="94" t="str">
        <f t="array" ref="V629">IFERROR(INDEX(DFD!$F$2:$F$1048791,MATCH($Q629,DFD!$B$2:$B$1048791,0)),"")</f>
        <v/>
      </c>
      <c r="W629" s="97" t="str">
        <f t="array" ref="W629">IFERROR(INDEX(DFD!$E$2:$E$1048791,MATCH($Q629,DFD!$B$2:$B$1048791,0)),"")</f>
        <v/>
      </c>
      <c r="X629" s="97" t="str">
        <f t="array" ref="X629">IFERROR(INDEX(DFD!$K$2:$K$1048791,MATCH($Q629,DFD!$B$2:$B$1048791,0)),"")</f>
        <v/>
      </c>
      <c r="Y629" s="97" t="str">
        <f t="array" ref="Y629">IFERROR(INDEX(DFD!$L$2:$L$1048790,MATCH($Q629,DFD!$B$2:$B$1048790,0)),"")</f>
        <v/>
      </c>
      <c r="Z629" s="97">
        <f t="shared" si="13"/>
        <v>45</v>
      </c>
      <c r="AA629" s="87"/>
      <c r="AB629" s="87" t="s">
        <v>78</v>
      </c>
      <c r="AC629" s="87"/>
      <c r="AD629" s="99">
        <v>46043.0</v>
      </c>
      <c r="AE629" s="100">
        <f t="shared" si="8"/>
        <v>1</v>
      </c>
    </row>
    <row r="630" ht="15.75" customHeight="1">
      <c r="A630" s="59" t="s">
        <v>1906</v>
      </c>
      <c r="B630" s="59" t="s">
        <v>80</v>
      </c>
      <c r="C630" s="60" t="s">
        <v>1905</v>
      </c>
      <c r="D630" s="60" t="s">
        <v>51</v>
      </c>
      <c r="E630" s="60">
        <v>3.0</v>
      </c>
      <c r="F630" s="72">
        <v>177.0</v>
      </c>
      <c r="G630" s="73" t="s">
        <v>53</v>
      </c>
      <c r="H630" s="74">
        <v>46143.0</v>
      </c>
      <c r="I630" s="67" t="s">
        <v>17</v>
      </c>
      <c r="J630" s="67" t="s">
        <v>54</v>
      </c>
      <c r="K630" s="67" t="s">
        <v>66</v>
      </c>
      <c r="L630" s="67" t="s">
        <v>67</v>
      </c>
      <c r="M630" s="73" t="s">
        <v>104</v>
      </c>
      <c r="N630" s="67" t="s">
        <v>5</v>
      </c>
      <c r="O630" s="59" t="s">
        <v>69</v>
      </c>
      <c r="P630" s="59"/>
      <c r="Q630" s="59" t="s">
        <v>118</v>
      </c>
      <c r="R630" s="76" t="s">
        <v>71</v>
      </c>
      <c r="S630" s="59"/>
      <c r="T630" s="59"/>
      <c r="U630" s="77" t="str">
        <f t="array" ref="U630">IFERROR(INDEX(DFD!$D$2:$D$1048791,MATCH($Q630,DFD!$B$2:$B$1048791,0)),"")</f>
        <v/>
      </c>
      <c r="V630" s="77" t="str">
        <f t="array" ref="V630">IFERROR(INDEX(DFD!$F$2:$F$1048791,MATCH($Q630,DFD!$B$2:$B$1048791,0)),"")</f>
        <v/>
      </c>
      <c r="W630" s="84" t="str">
        <f t="array" ref="W630">IFERROR(INDEX(DFD!$E$2:$E$1048791,MATCH($Q630,DFD!$B$2:$B$1048791,0)),"")</f>
        <v/>
      </c>
      <c r="X630" s="84" t="str">
        <f t="array" ref="X630">IFERROR(INDEX(DFD!$K$2:$K$1048791,MATCH($Q630,DFD!$B$2:$B$1048791,0)),"")</f>
        <v/>
      </c>
      <c r="Y630" s="84" t="str">
        <f t="array" ref="Y630">IFERROR(INDEX(DFD!$L$2:$L$1048790,MATCH($Q630,DFD!$B$2:$B$1048790,0)),"")</f>
        <v/>
      </c>
      <c r="Z630" s="84">
        <f t="shared" si="13"/>
        <v>45</v>
      </c>
      <c r="AA630" s="59"/>
      <c r="AB630" s="59" t="s">
        <v>78</v>
      </c>
      <c r="AC630" s="59"/>
      <c r="AD630" s="85">
        <v>46043.0</v>
      </c>
      <c r="AE630" s="86">
        <f t="shared" si="8"/>
        <v>1</v>
      </c>
    </row>
    <row r="631" ht="15.75" customHeight="1">
      <c r="A631" s="87" t="s">
        <v>1907</v>
      </c>
      <c r="B631" s="87" t="s">
        <v>602</v>
      </c>
      <c r="C631" s="88" t="s">
        <v>1905</v>
      </c>
      <c r="D631" s="88" t="s">
        <v>51</v>
      </c>
      <c r="E631" s="88">
        <v>2.0</v>
      </c>
      <c r="F631" s="89">
        <v>118.0</v>
      </c>
      <c r="G631" s="90" t="s">
        <v>53</v>
      </c>
      <c r="H631" s="91">
        <v>46143.0</v>
      </c>
      <c r="I631" s="92" t="s">
        <v>17</v>
      </c>
      <c r="J631" s="92" t="s">
        <v>54</v>
      </c>
      <c r="K631" s="92" t="s">
        <v>66</v>
      </c>
      <c r="L631" s="92" t="s">
        <v>67</v>
      </c>
      <c r="M631" s="90" t="s">
        <v>104</v>
      </c>
      <c r="N631" s="92" t="s">
        <v>5</v>
      </c>
      <c r="O631" s="92" t="s">
        <v>89</v>
      </c>
      <c r="P631" s="87"/>
      <c r="Q631" s="87" t="s">
        <v>118</v>
      </c>
      <c r="R631" s="93" t="s">
        <v>71</v>
      </c>
      <c r="S631" s="87"/>
      <c r="T631" s="87"/>
      <c r="U631" s="94" t="str">
        <f t="array" ref="U631">IFERROR(INDEX(DFD!$D$2:$D$1048791,MATCH($Q631,DFD!$B$2:$B$1048791,0)),"")</f>
        <v/>
      </c>
      <c r="V631" s="94" t="str">
        <f t="array" ref="V631">IFERROR(INDEX(DFD!$F$2:$F$1048791,MATCH($Q631,DFD!$B$2:$B$1048791,0)),"")</f>
        <v/>
      </c>
      <c r="W631" s="97" t="str">
        <f t="array" ref="W631">IFERROR(INDEX(DFD!$E$2:$E$1048791,MATCH($Q631,DFD!$B$2:$B$1048791,0)),"")</f>
        <v/>
      </c>
      <c r="X631" s="97" t="str">
        <f t="array" ref="X631">IFERROR(INDEX(DFD!$K$2:$K$1048791,MATCH($Q631,DFD!$B$2:$B$1048791,0)),"")</f>
        <v/>
      </c>
      <c r="Y631" s="97" t="str">
        <f t="array" ref="Y631">IFERROR(INDEX(DFD!$L$2:$L$1048790,MATCH($Q631,DFD!$B$2:$B$1048790,0)),"")</f>
        <v/>
      </c>
      <c r="Z631" s="97">
        <f t="shared" si="13"/>
        <v>45</v>
      </c>
      <c r="AA631" s="87"/>
      <c r="AB631" s="87" t="s">
        <v>78</v>
      </c>
      <c r="AC631" s="87"/>
      <c r="AD631" s="99">
        <v>46043.0</v>
      </c>
      <c r="AE631" s="100">
        <f t="shared" si="8"/>
        <v>1</v>
      </c>
    </row>
    <row r="632" ht="15.75" customHeight="1">
      <c r="A632" s="59" t="s">
        <v>1908</v>
      </c>
      <c r="B632" s="59" t="s">
        <v>91</v>
      </c>
      <c r="C632" s="60" t="s">
        <v>1905</v>
      </c>
      <c r="D632" s="60" t="s">
        <v>51</v>
      </c>
      <c r="E632" s="60">
        <v>2.0</v>
      </c>
      <c r="F632" s="72">
        <v>118.0</v>
      </c>
      <c r="G632" s="73" t="s">
        <v>53</v>
      </c>
      <c r="H632" s="74">
        <v>46143.0</v>
      </c>
      <c r="I632" s="67" t="s">
        <v>17</v>
      </c>
      <c r="J632" s="67" t="s">
        <v>54</v>
      </c>
      <c r="K632" s="67" t="s">
        <v>66</v>
      </c>
      <c r="L632" s="67" t="s">
        <v>67</v>
      </c>
      <c r="M632" s="73" t="s">
        <v>104</v>
      </c>
      <c r="N632" s="67" t="s">
        <v>5</v>
      </c>
      <c r="O632" s="59" t="s">
        <v>69</v>
      </c>
      <c r="P632" s="59"/>
      <c r="Q632" s="59" t="s">
        <v>118</v>
      </c>
      <c r="R632" s="76" t="s">
        <v>71</v>
      </c>
      <c r="S632" s="59"/>
      <c r="T632" s="59"/>
      <c r="U632" s="77" t="str">
        <f t="array" ref="U632">IFERROR(INDEX(DFD!$D$2:$D$1048791,MATCH($Q632,DFD!$B$2:$B$1048791,0)),"")</f>
        <v/>
      </c>
      <c r="V632" s="77" t="str">
        <f t="array" ref="V632">IFERROR(INDEX(DFD!$F$2:$F$1048791,MATCH($Q632,DFD!$B$2:$B$1048791,0)),"")</f>
        <v/>
      </c>
      <c r="W632" s="84" t="str">
        <f t="array" ref="W632">IFERROR(INDEX(DFD!$E$2:$E$1048791,MATCH($Q632,DFD!$B$2:$B$1048791,0)),"")</f>
        <v/>
      </c>
      <c r="X632" s="84" t="str">
        <f t="array" ref="X632">IFERROR(INDEX(DFD!$K$2:$K$1048791,MATCH($Q632,DFD!$B$2:$B$1048791,0)),"")</f>
        <v/>
      </c>
      <c r="Y632" s="84" t="str">
        <f t="array" ref="Y632">IFERROR(INDEX(DFD!$L$2:$L$1048790,MATCH($Q632,DFD!$B$2:$B$1048790,0)),"")</f>
        <v/>
      </c>
      <c r="Z632" s="84">
        <f t="shared" si="13"/>
        <v>45</v>
      </c>
      <c r="AA632" s="59"/>
      <c r="AB632" s="59" t="s">
        <v>78</v>
      </c>
      <c r="AC632" s="59"/>
      <c r="AD632" s="85">
        <v>46043.0</v>
      </c>
      <c r="AE632" s="86">
        <f t="shared" si="8"/>
        <v>1</v>
      </c>
    </row>
    <row r="633" ht="15.75" customHeight="1">
      <c r="A633" s="92" t="s">
        <v>1909</v>
      </c>
      <c r="B633" s="87" t="s">
        <v>148</v>
      </c>
      <c r="C633" s="88" t="s">
        <v>1910</v>
      </c>
      <c r="D633" s="88" t="s">
        <v>51</v>
      </c>
      <c r="E633" s="88">
        <v>800.0</v>
      </c>
      <c r="F633" s="89">
        <v>400.0</v>
      </c>
      <c r="G633" s="90" t="s">
        <v>53</v>
      </c>
      <c r="H633" s="91">
        <v>46174.0</v>
      </c>
      <c r="I633" s="92" t="s">
        <v>17</v>
      </c>
      <c r="J633" s="92" t="s">
        <v>54</v>
      </c>
      <c r="K633" s="92" t="s">
        <v>66</v>
      </c>
      <c r="L633" s="92" t="s">
        <v>67</v>
      </c>
      <c r="M633" s="90" t="s">
        <v>68</v>
      </c>
      <c r="N633" s="92" t="s">
        <v>20</v>
      </c>
      <c r="O633" s="87" t="s">
        <v>69</v>
      </c>
      <c r="P633" s="87"/>
      <c r="Q633" s="87" t="s">
        <v>342</v>
      </c>
      <c r="R633" s="93" t="s">
        <v>269</v>
      </c>
      <c r="S633" s="87"/>
      <c r="T633" s="87"/>
      <c r="U633" s="94" t="str">
        <f t="array" ref="U633">IFERROR(INDEX(DFD!$D$2:$D$1048791,MATCH($Q633,DFD!$B$2:$B$1048791,0)),"")</f>
        <v/>
      </c>
      <c r="V633" s="94" t="str">
        <f t="array" ref="V633">IFERROR(INDEX(DFD!$F$2:$F$1048791,MATCH($Q633,DFD!$B$2:$B$1048791,0)),"")</f>
        <v/>
      </c>
      <c r="W633" s="97" t="str">
        <f t="array" ref="W633">IFERROR(INDEX(DFD!$E$2:$E$1048791,MATCH($Q633,DFD!$B$2:$B$1048791,0)),"")</f>
        <v/>
      </c>
      <c r="X633" s="97" t="str">
        <f t="array" ref="X633">IFERROR(INDEX(DFD!$K$2:$K$1048791,MATCH($Q633,DFD!$B$2:$B$1048791,0)),"")</f>
        <v/>
      </c>
      <c r="Y633" s="97" t="str">
        <f t="array" ref="Y633">IFERROR(INDEX(DFD!$L$2:$L$1048790,MATCH($Q633,DFD!$B$2:$B$1048790,0)),"")</f>
        <v/>
      </c>
      <c r="Z633" s="97">
        <f t="shared" si="13"/>
        <v>45</v>
      </c>
      <c r="AA633" s="87"/>
      <c r="AB633" s="87" t="s">
        <v>78</v>
      </c>
      <c r="AC633" s="87"/>
      <c r="AD633" s="99">
        <v>46043.0</v>
      </c>
      <c r="AE633" s="100">
        <f t="shared" si="8"/>
        <v>1</v>
      </c>
    </row>
    <row r="634" ht="15.75" customHeight="1">
      <c r="A634" s="59" t="s">
        <v>1911</v>
      </c>
      <c r="B634" s="59" t="s">
        <v>148</v>
      </c>
      <c r="C634" s="60" t="s">
        <v>1912</v>
      </c>
      <c r="D634" s="60" t="s">
        <v>51</v>
      </c>
      <c r="E634" s="60">
        <v>128.0</v>
      </c>
      <c r="F634" s="72">
        <v>10240.0</v>
      </c>
      <c r="G634" s="73" t="s">
        <v>53</v>
      </c>
      <c r="H634" s="74">
        <v>46235.0</v>
      </c>
      <c r="I634" s="67" t="s">
        <v>17</v>
      </c>
      <c r="J634" s="67" t="s">
        <v>54</v>
      </c>
      <c r="K634" s="67" t="s">
        <v>66</v>
      </c>
      <c r="L634" s="67" t="s">
        <v>67</v>
      </c>
      <c r="M634" s="73" t="s">
        <v>68</v>
      </c>
      <c r="N634" s="67" t="s">
        <v>5</v>
      </c>
      <c r="O634" s="67" t="s">
        <v>89</v>
      </c>
      <c r="P634" s="59"/>
      <c r="Q634" s="59" t="s">
        <v>1913</v>
      </c>
      <c r="R634" s="76" t="s">
        <v>1075</v>
      </c>
      <c r="S634" s="59"/>
      <c r="T634" s="59"/>
      <c r="U634" s="77" t="str">
        <f t="array" ref="U634">IFERROR(INDEX(DFD!$D$2:$D$1048791,MATCH($Q634,DFD!$B$2:$B$1048791,0)),"")</f>
        <v/>
      </c>
      <c r="V634" s="77" t="str">
        <f t="array" ref="V634">IFERROR(INDEX(DFD!$F$2:$F$1048791,MATCH($Q634,DFD!$B$2:$B$1048791,0)),"")</f>
        <v/>
      </c>
      <c r="W634" s="84" t="str">
        <f t="array" ref="W634">IFERROR(INDEX(DFD!$E$2:$E$1048791,MATCH($Q634,DFD!$B$2:$B$1048791,0)),"")</f>
        <v/>
      </c>
      <c r="X634" s="84" t="str">
        <f t="array" ref="X634">IFERROR(INDEX(DFD!$K$2:$K$1048791,MATCH($Q634,DFD!$B$2:$B$1048791,0)),"")</f>
        <v/>
      </c>
      <c r="Y634" s="84" t="str">
        <f t="array" ref="Y634">IFERROR(INDEX(DFD!$L$2:$L$1048790,MATCH($Q634,DFD!$B$2:$B$1048790,0)),"")</f>
        <v/>
      </c>
      <c r="Z634" s="84">
        <f t="shared" si="13"/>
        <v>45</v>
      </c>
      <c r="AA634" s="59"/>
      <c r="AB634" s="59" t="s">
        <v>78</v>
      </c>
      <c r="AC634" s="59"/>
      <c r="AD634" s="85">
        <v>46043.0</v>
      </c>
      <c r="AE634" s="86">
        <f t="shared" si="8"/>
        <v>1</v>
      </c>
    </row>
    <row r="635" ht="15.75" customHeight="1">
      <c r="A635" s="87" t="s">
        <v>1914</v>
      </c>
      <c r="B635" s="87" t="s">
        <v>101</v>
      </c>
      <c r="C635" s="88" t="s">
        <v>1915</v>
      </c>
      <c r="D635" s="88" t="s">
        <v>51</v>
      </c>
      <c r="E635" s="88">
        <v>3.0</v>
      </c>
      <c r="F635" s="89">
        <v>360.0</v>
      </c>
      <c r="G635" s="90" t="s">
        <v>53</v>
      </c>
      <c r="H635" s="91">
        <v>46174.0</v>
      </c>
      <c r="I635" s="92" t="s">
        <v>17</v>
      </c>
      <c r="J635" s="92" t="s">
        <v>54</v>
      </c>
      <c r="K635" s="92" t="s">
        <v>66</v>
      </c>
      <c r="L635" s="92" t="s">
        <v>56</v>
      </c>
      <c r="M635" s="90" t="s">
        <v>132</v>
      </c>
      <c r="N635" s="92" t="s">
        <v>58</v>
      </c>
      <c r="O635" s="87" t="s">
        <v>69</v>
      </c>
      <c r="P635" s="87"/>
      <c r="Q635" s="87" t="s">
        <v>1916</v>
      </c>
      <c r="R635" s="93" t="s">
        <v>71</v>
      </c>
      <c r="S635" s="87"/>
      <c r="T635" s="87"/>
      <c r="U635" s="94" t="str">
        <f t="array" ref="U635">IFERROR(INDEX(DFD!$D$2:$D$1048791,MATCH($Q635,DFD!$B$2:$B$1048791,0)),"")</f>
        <v/>
      </c>
      <c r="V635" s="94" t="str">
        <f t="array" ref="V635">IFERROR(INDEX(DFD!$F$2:$F$1048791,MATCH($Q635,DFD!$B$2:$B$1048791,0)),"")</f>
        <v/>
      </c>
      <c r="W635" s="97" t="str">
        <f t="array" ref="W635">IFERROR(INDEX(DFD!$E$2:$E$1048791,MATCH($Q635,DFD!$B$2:$B$1048791,0)),"")</f>
        <v/>
      </c>
      <c r="X635" s="97" t="str">
        <f t="array" ref="X635">IFERROR(INDEX(DFD!$K$2:$K$1048791,MATCH($Q635,DFD!$B$2:$B$1048791,0)),"")</f>
        <v/>
      </c>
      <c r="Y635" s="97" t="str">
        <f t="array" ref="Y635">IFERROR(INDEX(DFD!$L$2:$L$1048790,MATCH($Q635,DFD!$B$2:$B$1048790,0)),"")</f>
        <v/>
      </c>
      <c r="Z635" s="97">
        <f t="shared" si="13"/>
        <v>45</v>
      </c>
      <c r="AA635" s="87"/>
      <c r="AB635" s="87" t="s">
        <v>78</v>
      </c>
      <c r="AC635" s="87"/>
      <c r="AD635" s="99">
        <v>46043.0</v>
      </c>
      <c r="AE635" s="100">
        <f t="shared" si="8"/>
        <v>1</v>
      </c>
    </row>
    <row r="636" ht="15.75" customHeight="1">
      <c r="A636" s="59" t="s">
        <v>1917</v>
      </c>
      <c r="B636" s="59" t="s">
        <v>92</v>
      </c>
      <c r="C636" s="60" t="s">
        <v>1918</v>
      </c>
      <c r="D636" s="60" t="s">
        <v>51</v>
      </c>
      <c r="E636" s="60">
        <v>50.0</v>
      </c>
      <c r="F636" s="72">
        <v>5700.0</v>
      </c>
      <c r="G636" s="73" t="s">
        <v>53</v>
      </c>
      <c r="H636" s="74">
        <v>46204.0</v>
      </c>
      <c r="I636" s="67" t="s">
        <v>17</v>
      </c>
      <c r="J636" s="67" t="s">
        <v>54</v>
      </c>
      <c r="K636" s="67" t="s">
        <v>66</v>
      </c>
      <c r="L636" s="67" t="s">
        <v>67</v>
      </c>
      <c r="M636" s="73" t="s">
        <v>68</v>
      </c>
      <c r="N636" s="67" t="s">
        <v>5</v>
      </c>
      <c r="O636" s="59" t="s">
        <v>69</v>
      </c>
      <c r="P636" s="59"/>
      <c r="Q636" s="59" t="s">
        <v>1916</v>
      </c>
      <c r="R636" s="76" t="s">
        <v>71</v>
      </c>
      <c r="S636" s="59"/>
      <c r="T636" s="59"/>
      <c r="U636" s="77" t="str">
        <f t="array" ref="U636">IFERROR(INDEX(DFD!$D$2:$D$1048791,MATCH($Q636,DFD!$B$2:$B$1048791,0)),"")</f>
        <v/>
      </c>
      <c r="V636" s="77" t="str">
        <f t="array" ref="V636">IFERROR(INDEX(DFD!$F$2:$F$1048791,MATCH($Q636,DFD!$B$2:$B$1048791,0)),"")</f>
        <v/>
      </c>
      <c r="W636" s="84" t="str">
        <f t="array" ref="W636">IFERROR(INDEX(DFD!$E$2:$E$1048791,MATCH($Q636,DFD!$B$2:$B$1048791,0)),"")</f>
        <v/>
      </c>
      <c r="X636" s="84" t="str">
        <f t="array" ref="X636">IFERROR(INDEX(DFD!$K$2:$K$1048791,MATCH($Q636,DFD!$B$2:$B$1048791,0)),"")</f>
        <v/>
      </c>
      <c r="Y636" s="84" t="str">
        <f t="array" ref="Y636">IFERROR(INDEX(DFD!$L$2:$L$1048790,MATCH($Q636,DFD!$B$2:$B$1048790,0)),"")</f>
        <v/>
      </c>
      <c r="Z636" s="84">
        <f t="shared" si="13"/>
        <v>45</v>
      </c>
      <c r="AA636" s="59"/>
      <c r="AB636" s="59" t="s">
        <v>78</v>
      </c>
      <c r="AC636" s="59"/>
      <c r="AD636" s="85">
        <v>46043.0</v>
      </c>
      <c r="AE636" s="86">
        <f t="shared" si="8"/>
        <v>1</v>
      </c>
    </row>
    <row r="637" ht="15.75" customHeight="1">
      <c r="A637" s="87" t="s">
        <v>1919</v>
      </c>
      <c r="B637" s="87" t="s">
        <v>101</v>
      </c>
      <c r="C637" s="88" t="s">
        <v>1920</v>
      </c>
      <c r="D637" s="88" t="s">
        <v>51</v>
      </c>
      <c r="E637" s="88">
        <v>30.0</v>
      </c>
      <c r="F637" s="89">
        <v>3420.0</v>
      </c>
      <c r="G637" s="90" t="s">
        <v>53</v>
      </c>
      <c r="H637" s="91">
        <v>46174.0</v>
      </c>
      <c r="I637" s="92" t="s">
        <v>17</v>
      </c>
      <c r="J637" s="92" t="s">
        <v>54</v>
      </c>
      <c r="K637" s="92" t="s">
        <v>66</v>
      </c>
      <c r="L637" s="92" t="s">
        <v>56</v>
      </c>
      <c r="M637" s="90" t="s">
        <v>112</v>
      </c>
      <c r="N637" s="92" t="s">
        <v>58</v>
      </c>
      <c r="O637" s="92" t="s">
        <v>89</v>
      </c>
      <c r="P637" s="87"/>
      <c r="Q637" s="87" t="s">
        <v>1916</v>
      </c>
      <c r="R637" s="93" t="s">
        <v>71</v>
      </c>
      <c r="S637" s="87"/>
      <c r="T637" s="87"/>
      <c r="U637" s="94" t="str">
        <f t="array" ref="U637">IFERROR(INDEX(DFD!$D$2:$D$1048791,MATCH($Q637,DFD!$B$2:$B$1048791,0)),"")</f>
        <v/>
      </c>
      <c r="V637" s="94" t="str">
        <f t="array" ref="V637">IFERROR(INDEX(DFD!$F$2:$F$1048791,MATCH($Q637,DFD!$B$2:$B$1048791,0)),"")</f>
        <v/>
      </c>
      <c r="W637" s="97" t="str">
        <f t="array" ref="W637">IFERROR(INDEX(DFD!$E$2:$E$1048791,MATCH($Q637,DFD!$B$2:$B$1048791,0)),"")</f>
        <v/>
      </c>
      <c r="X637" s="97" t="str">
        <f t="array" ref="X637">IFERROR(INDEX(DFD!$K$2:$K$1048791,MATCH($Q637,DFD!$B$2:$B$1048791,0)),"")</f>
        <v/>
      </c>
      <c r="Y637" s="97" t="str">
        <f t="array" ref="Y637">IFERROR(INDEX(DFD!$L$2:$L$1048790,MATCH($Q637,DFD!$B$2:$B$1048790,0)),"")</f>
        <v/>
      </c>
      <c r="Z637" s="97">
        <f t="shared" si="13"/>
        <v>45</v>
      </c>
      <c r="AA637" s="87"/>
      <c r="AB637" s="87" t="s">
        <v>78</v>
      </c>
      <c r="AC637" s="87"/>
      <c r="AD637" s="99">
        <v>46043.0</v>
      </c>
      <c r="AE637" s="100">
        <f t="shared" si="8"/>
        <v>1</v>
      </c>
    </row>
    <row r="638" ht="15.75" customHeight="1">
      <c r="A638" s="59" t="s">
        <v>1921</v>
      </c>
      <c r="B638" s="59" t="s">
        <v>95</v>
      </c>
      <c r="C638" s="60" t="s">
        <v>1918</v>
      </c>
      <c r="D638" s="60" t="s">
        <v>51</v>
      </c>
      <c r="E638" s="60">
        <v>30.0</v>
      </c>
      <c r="F638" s="72">
        <v>3420.0</v>
      </c>
      <c r="G638" s="73" t="s">
        <v>53</v>
      </c>
      <c r="H638" s="74">
        <v>46174.0</v>
      </c>
      <c r="I638" s="67" t="s">
        <v>17</v>
      </c>
      <c r="J638" s="67" t="s">
        <v>54</v>
      </c>
      <c r="K638" s="67" t="s">
        <v>66</v>
      </c>
      <c r="L638" s="67" t="s">
        <v>67</v>
      </c>
      <c r="M638" s="73" t="s">
        <v>117</v>
      </c>
      <c r="N638" s="67" t="s">
        <v>5</v>
      </c>
      <c r="O638" s="59" t="s">
        <v>69</v>
      </c>
      <c r="P638" s="59"/>
      <c r="Q638" s="59" t="s">
        <v>1916</v>
      </c>
      <c r="R638" s="76" t="s">
        <v>71</v>
      </c>
      <c r="S638" s="59"/>
      <c r="T638" s="59"/>
      <c r="U638" s="77" t="str">
        <f t="array" ref="U638">IFERROR(INDEX(DFD!$D$2:$D$1048791,MATCH($Q638,DFD!$B$2:$B$1048791,0)),"")</f>
        <v/>
      </c>
      <c r="V638" s="77" t="str">
        <f t="array" ref="V638">IFERROR(INDEX(DFD!$F$2:$F$1048791,MATCH($Q638,DFD!$B$2:$B$1048791,0)),"")</f>
        <v/>
      </c>
      <c r="W638" s="84" t="str">
        <f t="array" ref="W638">IFERROR(INDEX(DFD!$E$2:$E$1048791,MATCH($Q638,DFD!$B$2:$B$1048791,0)),"")</f>
        <v/>
      </c>
      <c r="X638" s="84" t="str">
        <f t="array" ref="X638">IFERROR(INDEX(DFD!$K$2:$K$1048791,MATCH($Q638,DFD!$B$2:$B$1048791,0)),"")</f>
        <v/>
      </c>
      <c r="Y638" s="84" t="str">
        <f t="array" ref="Y638">IFERROR(INDEX(DFD!$L$2:$L$1048790,MATCH($Q638,DFD!$B$2:$B$1048790,0)),"")</f>
        <v/>
      </c>
      <c r="Z638" s="84">
        <f t="shared" si="13"/>
        <v>45</v>
      </c>
      <c r="AA638" s="59"/>
      <c r="AB638" s="59" t="s">
        <v>78</v>
      </c>
      <c r="AC638" s="59"/>
      <c r="AD638" s="85">
        <v>46043.0</v>
      </c>
      <c r="AE638" s="86">
        <f t="shared" si="8"/>
        <v>1</v>
      </c>
    </row>
    <row r="639" ht="15.75" customHeight="1">
      <c r="A639" s="87" t="s">
        <v>1922</v>
      </c>
      <c r="B639" s="87" t="s">
        <v>602</v>
      </c>
      <c r="C639" s="88" t="s">
        <v>1918</v>
      </c>
      <c r="D639" s="88" t="s">
        <v>51</v>
      </c>
      <c r="E639" s="88">
        <v>20.0</v>
      </c>
      <c r="F639" s="89">
        <v>2280.0</v>
      </c>
      <c r="G639" s="90" t="s">
        <v>53</v>
      </c>
      <c r="H639" s="91">
        <v>46174.0</v>
      </c>
      <c r="I639" s="92" t="s">
        <v>17</v>
      </c>
      <c r="J639" s="92" t="s">
        <v>54</v>
      </c>
      <c r="K639" s="92" t="s">
        <v>66</v>
      </c>
      <c r="L639" s="92" t="s">
        <v>67</v>
      </c>
      <c r="M639" s="90" t="s">
        <v>117</v>
      </c>
      <c r="N639" s="92" t="s">
        <v>5</v>
      </c>
      <c r="O639" s="87" t="s">
        <v>69</v>
      </c>
      <c r="P639" s="87"/>
      <c r="Q639" s="87" t="s">
        <v>1916</v>
      </c>
      <c r="R639" s="93" t="s">
        <v>71</v>
      </c>
      <c r="S639" s="87"/>
      <c r="T639" s="87"/>
      <c r="U639" s="94" t="str">
        <f t="array" ref="U639">IFERROR(INDEX(DFD!$D$2:$D$1048791,MATCH($Q639,DFD!$B$2:$B$1048791,0)),"")</f>
        <v/>
      </c>
      <c r="V639" s="94" t="str">
        <f t="array" ref="V639">IFERROR(INDEX(DFD!$F$2:$F$1048791,MATCH($Q639,DFD!$B$2:$B$1048791,0)),"")</f>
        <v/>
      </c>
      <c r="W639" s="97" t="str">
        <f t="array" ref="W639">IFERROR(INDEX(DFD!$E$2:$E$1048791,MATCH($Q639,DFD!$B$2:$B$1048791,0)),"")</f>
        <v/>
      </c>
      <c r="X639" s="97" t="str">
        <f t="array" ref="X639">IFERROR(INDEX(DFD!$K$2:$K$1048791,MATCH($Q639,DFD!$B$2:$B$1048791,0)),"")</f>
        <v/>
      </c>
      <c r="Y639" s="97" t="str">
        <f t="array" ref="Y639">IFERROR(INDEX(DFD!$L$2:$L$1048790,MATCH($Q639,DFD!$B$2:$B$1048790,0)),"")</f>
        <v/>
      </c>
      <c r="Z639" s="97">
        <f t="shared" si="13"/>
        <v>45</v>
      </c>
      <c r="AA639" s="87"/>
      <c r="AB639" s="87" t="s">
        <v>78</v>
      </c>
      <c r="AC639" s="87"/>
      <c r="AD639" s="99">
        <v>46043.0</v>
      </c>
      <c r="AE639" s="100">
        <f t="shared" si="8"/>
        <v>1</v>
      </c>
    </row>
    <row r="640" ht="15.75" customHeight="1">
      <c r="A640" s="59" t="s">
        <v>1923</v>
      </c>
      <c r="B640" s="59" t="s">
        <v>123</v>
      </c>
      <c r="C640" s="60" t="s">
        <v>1918</v>
      </c>
      <c r="D640" s="60" t="s">
        <v>51</v>
      </c>
      <c r="E640" s="60">
        <v>18.0</v>
      </c>
      <c r="F640" s="72">
        <v>2052.0</v>
      </c>
      <c r="G640" s="73" t="s">
        <v>53</v>
      </c>
      <c r="H640" s="74">
        <v>46174.0</v>
      </c>
      <c r="I640" s="67" t="s">
        <v>17</v>
      </c>
      <c r="J640" s="67" t="s">
        <v>54</v>
      </c>
      <c r="K640" s="67" t="s">
        <v>66</v>
      </c>
      <c r="L640" s="67" t="s">
        <v>67</v>
      </c>
      <c r="M640" s="73" t="s">
        <v>117</v>
      </c>
      <c r="N640" s="67" t="s">
        <v>5</v>
      </c>
      <c r="O640" s="67" t="s">
        <v>89</v>
      </c>
      <c r="P640" s="59"/>
      <c r="Q640" s="59" t="s">
        <v>1916</v>
      </c>
      <c r="R640" s="76" t="s">
        <v>71</v>
      </c>
      <c r="S640" s="59"/>
      <c r="T640" s="59"/>
      <c r="U640" s="77" t="str">
        <f t="array" ref="U640">IFERROR(INDEX(DFD!$D$2:$D$1048791,MATCH($Q640,DFD!$B$2:$B$1048791,0)),"")</f>
        <v/>
      </c>
      <c r="V640" s="77" t="str">
        <f t="array" ref="V640">IFERROR(INDEX(DFD!$F$2:$F$1048791,MATCH($Q640,DFD!$B$2:$B$1048791,0)),"")</f>
        <v/>
      </c>
      <c r="W640" s="84" t="str">
        <f t="array" ref="W640">IFERROR(INDEX(DFD!$E$2:$E$1048791,MATCH($Q640,DFD!$B$2:$B$1048791,0)),"")</f>
        <v/>
      </c>
      <c r="X640" s="84" t="str">
        <f t="array" ref="X640">IFERROR(INDEX(DFD!$K$2:$K$1048791,MATCH($Q640,DFD!$B$2:$B$1048791,0)),"")</f>
        <v/>
      </c>
      <c r="Y640" s="84" t="str">
        <f t="array" ref="Y640">IFERROR(INDEX(DFD!$L$2:$L$1048790,MATCH($Q640,DFD!$B$2:$B$1048790,0)),"")</f>
        <v/>
      </c>
      <c r="Z640" s="84">
        <f t="shared" si="13"/>
        <v>45</v>
      </c>
      <c r="AA640" s="59"/>
      <c r="AB640" s="59" t="s">
        <v>78</v>
      </c>
      <c r="AC640" s="59"/>
      <c r="AD640" s="85">
        <v>46043.0</v>
      </c>
      <c r="AE640" s="86">
        <f t="shared" si="8"/>
        <v>1</v>
      </c>
    </row>
    <row r="641" ht="15.75" customHeight="1">
      <c r="A641" s="87" t="s">
        <v>1924</v>
      </c>
      <c r="B641" s="87" t="s">
        <v>87</v>
      </c>
      <c r="C641" s="88" t="s">
        <v>1918</v>
      </c>
      <c r="D641" s="88" t="s">
        <v>51</v>
      </c>
      <c r="E641" s="88">
        <v>18.0</v>
      </c>
      <c r="F641" s="89">
        <v>2052.0</v>
      </c>
      <c r="G641" s="90" t="s">
        <v>53</v>
      </c>
      <c r="H641" s="91">
        <v>46174.0</v>
      </c>
      <c r="I641" s="92" t="s">
        <v>17</v>
      </c>
      <c r="J641" s="92" t="s">
        <v>54</v>
      </c>
      <c r="K641" s="92" t="s">
        <v>66</v>
      </c>
      <c r="L641" s="92" t="s">
        <v>67</v>
      </c>
      <c r="M641" s="90" t="s">
        <v>117</v>
      </c>
      <c r="N641" s="92" t="s">
        <v>5</v>
      </c>
      <c r="O641" s="87" t="s">
        <v>69</v>
      </c>
      <c r="P641" s="87"/>
      <c r="Q641" s="87" t="s">
        <v>1916</v>
      </c>
      <c r="R641" s="93" t="s">
        <v>71</v>
      </c>
      <c r="S641" s="87"/>
      <c r="T641" s="87"/>
      <c r="U641" s="94" t="str">
        <f t="array" ref="U641">IFERROR(INDEX(DFD!$D$2:$D$1048791,MATCH($Q641,DFD!$B$2:$B$1048791,0)),"")</f>
        <v/>
      </c>
      <c r="V641" s="94" t="str">
        <f t="array" ref="V641">IFERROR(INDEX(DFD!$F$2:$F$1048791,MATCH($Q641,DFD!$B$2:$B$1048791,0)),"")</f>
        <v/>
      </c>
      <c r="W641" s="97" t="str">
        <f t="array" ref="W641">IFERROR(INDEX(DFD!$E$2:$E$1048791,MATCH($Q641,DFD!$B$2:$B$1048791,0)),"")</f>
        <v/>
      </c>
      <c r="X641" s="97" t="str">
        <f t="array" ref="X641">IFERROR(INDEX(DFD!$K$2:$K$1048791,MATCH($Q641,DFD!$B$2:$B$1048791,0)),"")</f>
        <v/>
      </c>
      <c r="Y641" s="97" t="str">
        <f t="array" ref="Y641">IFERROR(INDEX(DFD!$L$2:$L$1048790,MATCH($Q641,DFD!$B$2:$B$1048790,0)),"")</f>
        <v/>
      </c>
      <c r="Z641" s="97">
        <f t="shared" si="13"/>
        <v>45</v>
      </c>
      <c r="AA641" s="87"/>
      <c r="AB641" s="87" t="s">
        <v>78</v>
      </c>
      <c r="AC641" s="87"/>
      <c r="AD641" s="99">
        <v>46043.0</v>
      </c>
      <c r="AE641" s="100">
        <f t="shared" si="8"/>
        <v>1</v>
      </c>
    </row>
    <row r="642" ht="15.75" customHeight="1">
      <c r="A642" s="59" t="s">
        <v>1925</v>
      </c>
      <c r="B642" s="59" t="s">
        <v>98</v>
      </c>
      <c r="C642" s="60" t="s">
        <v>1918</v>
      </c>
      <c r="D642" s="60" t="s">
        <v>51</v>
      </c>
      <c r="E642" s="60">
        <v>18.0</v>
      </c>
      <c r="F642" s="72">
        <v>2052.0</v>
      </c>
      <c r="G642" s="73" t="s">
        <v>53</v>
      </c>
      <c r="H642" s="74">
        <v>46174.0</v>
      </c>
      <c r="I642" s="67" t="s">
        <v>17</v>
      </c>
      <c r="J642" s="67" t="s">
        <v>54</v>
      </c>
      <c r="K642" s="67" t="s">
        <v>66</v>
      </c>
      <c r="L642" s="67" t="s">
        <v>67</v>
      </c>
      <c r="M642" s="73" t="s">
        <v>117</v>
      </c>
      <c r="N642" s="67" t="s">
        <v>5</v>
      </c>
      <c r="O642" s="59" t="s">
        <v>69</v>
      </c>
      <c r="P642" s="59"/>
      <c r="Q642" s="59" t="s">
        <v>1916</v>
      </c>
      <c r="R642" s="76" t="s">
        <v>71</v>
      </c>
      <c r="S642" s="59"/>
      <c r="T642" s="59"/>
      <c r="U642" s="77" t="str">
        <f t="array" ref="U642">IFERROR(INDEX(DFD!$D$2:$D$1048791,MATCH($Q642,DFD!$B$2:$B$1048791,0)),"")</f>
        <v/>
      </c>
      <c r="V642" s="77" t="str">
        <f t="array" ref="V642">IFERROR(INDEX(DFD!$F$2:$F$1048791,MATCH($Q642,DFD!$B$2:$B$1048791,0)),"")</f>
        <v/>
      </c>
      <c r="W642" s="84" t="str">
        <f t="array" ref="W642">IFERROR(INDEX(DFD!$E$2:$E$1048791,MATCH($Q642,DFD!$B$2:$B$1048791,0)),"")</f>
        <v/>
      </c>
      <c r="X642" s="84" t="str">
        <f t="array" ref="X642">IFERROR(INDEX(DFD!$K$2:$K$1048791,MATCH($Q642,DFD!$B$2:$B$1048791,0)),"")</f>
        <v/>
      </c>
      <c r="Y642" s="84" t="str">
        <f t="array" ref="Y642">IFERROR(INDEX(DFD!$L$2:$L$1048790,MATCH($Q642,DFD!$B$2:$B$1048790,0)),"")</f>
        <v/>
      </c>
      <c r="Z642" s="84">
        <f t="shared" si="13"/>
        <v>45</v>
      </c>
      <c r="AA642" s="59"/>
      <c r="AB642" s="59" t="s">
        <v>78</v>
      </c>
      <c r="AC642" s="59"/>
      <c r="AD642" s="85">
        <v>46043.0</v>
      </c>
      <c r="AE642" s="86">
        <f t="shared" si="8"/>
        <v>1</v>
      </c>
    </row>
    <row r="643" ht="15.75" customHeight="1">
      <c r="A643" s="87" t="s">
        <v>1926</v>
      </c>
      <c r="B643" s="87" t="s">
        <v>91</v>
      </c>
      <c r="C643" s="88" t="s">
        <v>1918</v>
      </c>
      <c r="D643" s="88" t="s">
        <v>51</v>
      </c>
      <c r="E643" s="88">
        <v>15.0</v>
      </c>
      <c r="F643" s="89">
        <v>1710.0</v>
      </c>
      <c r="G643" s="90" t="s">
        <v>53</v>
      </c>
      <c r="H643" s="91">
        <v>46174.0</v>
      </c>
      <c r="I643" s="92" t="s">
        <v>17</v>
      </c>
      <c r="J643" s="92" t="s">
        <v>54</v>
      </c>
      <c r="K643" s="92" t="s">
        <v>66</v>
      </c>
      <c r="L643" s="92" t="s">
        <v>67</v>
      </c>
      <c r="M643" s="90" t="s">
        <v>117</v>
      </c>
      <c r="N643" s="92" t="s">
        <v>5</v>
      </c>
      <c r="O643" s="92" t="s">
        <v>89</v>
      </c>
      <c r="P643" s="87"/>
      <c r="Q643" s="87" t="s">
        <v>1916</v>
      </c>
      <c r="R643" s="93" t="s">
        <v>71</v>
      </c>
      <c r="S643" s="87"/>
      <c r="T643" s="87"/>
      <c r="U643" s="94" t="str">
        <f t="array" ref="U643">IFERROR(INDEX(DFD!$D$2:$D$1048791,MATCH($Q643,DFD!$B$2:$B$1048791,0)),"")</f>
        <v/>
      </c>
      <c r="V643" s="94" t="str">
        <f t="array" ref="V643">IFERROR(INDEX(DFD!$F$2:$F$1048791,MATCH($Q643,DFD!$B$2:$B$1048791,0)),"")</f>
        <v/>
      </c>
      <c r="W643" s="97" t="str">
        <f t="array" ref="W643">IFERROR(INDEX(DFD!$E$2:$E$1048791,MATCH($Q643,DFD!$B$2:$B$1048791,0)),"")</f>
        <v/>
      </c>
      <c r="X643" s="97" t="str">
        <f t="array" ref="X643">IFERROR(INDEX(DFD!$K$2:$K$1048791,MATCH($Q643,DFD!$B$2:$B$1048791,0)),"")</f>
        <v/>
      </c>
      <c r="Y643" s="97" t="str">
        <f t="array" ref="Y643">IFERROR(INDEX(DFD!$L$2:$L$1048790,MATCH($Q643,DFD!$B$2:$B$1048790,0)),"")</f>
        <v/>
      </c>
      <c r="Z643" s="97">
        <f t="shared" si="13"/>
        <v>45</v>
      </c>
      <c r="AA643" s="87"/>
      <c r="AB643" s="87" t="s">
        <v>78</v>
      </c>
      <c r="AC643" s="87"/>
      <c r="AD643" s="99">
        <v>46043.0</v>
      </c>
      <c r="AE643" s="100">
        <f t="shared" si="8"/>
        <v>1</v>
      </c>
    </row>
    <row r="644" ht="15.75" customHeight="1">
      <c r="A644" s="59" t="s">
        <v>1927</v>
      </c>
      <c r="B644" s="59" t="s">
        <v>80</v>
      </c>
      <c r="C644" s="60" t="s">
        <v>1918</v>
      </c>
      <c r="D644" s="60" t="s">
        <v>51</v>
      </c>
      <c r="E644" s="60">
        <v>10.0</v>
      </c>
      <c r="F644" s="72">
        <v>1140.0</v>
      </c>
      <c r="G644" s="73" t="s">
        <v>53</v>
      </c>
      <c r="H644" s="74">
        <v>46174.0</v>
      </c>
      <c r="I644" s="67" t="s">
        <v>17</v>
      </c>
      <c r="J644" s="67" t="s">
        <v>54</v>
      </c>
      <c r="K644" s="67" t="s">
        <v>66</v>
      </c>
      <c r="L644" s="67" t="s">
        <v>67</v>
      </c>
      <c r="M644" s="73" t="s">
        <v>117</v>
      </c>
      <c r="N644" s="67" t="s">
        <v>5</v>
      </c>
      <c r="O644" s="59" t="s">
        <v>69</v>
      </c>
      <c r="P644" s="59"/>
      <c r="Q644" s="59" t="s">
        <v>1916</v>
      </c>
      <c r="R644" s="76" t="s">
        <v>71</v>
      </c>
      <c r="S644" s="59"/>
      <c r="T644" s="59"/>
      <c r="U644" s="77" t="str">
        <f t="array" ref="U644">IFERROR(INDEX(DFD!$D$2:$D$1048791,MATCH($Q644,DFD!$B$2:$B$1048791,0)),"")</f>
        <v/>
      </c>
      <c r="V644" s="77" t="str">
        <f t="array" ref="V644">IFERROR(INDEX(DFD!$F$2:$F$1048791,MATCH($Q644,DFD!$B$2:$B$1048791,0)),"")</f>
        <v/>
      </c>
      <c r="W644" s="84" t="str">
        <f t="array" ref="W644">IFERROR(INDEX(DFD!$E$2:$E$1048791,MATCH($Q644,DFD!$B$2:$B$1048791,0)),"")</f>
        <v/>
      </c>
      <c r="X644" s="84" t="str">
        <f t="array" ref="X644">IFERROR(INDEX(DFD!$K$2:$K$1048791,MATCH($Q644,DFD!$B$2:$B$1048791,0)),"")</f>
        <v/>
      </c>
      <c r="Y644" s="84" t="str">
        <f t="array" ref="Y644">IFERROR(INDEX(DFD!$L$2:$L$1048790,MATCH($Q644,DFD!$B$2:$B$1048790,0)),"")</f>
        <v/>
      </c>
      <c r="Z644" s="84">
        <f t="shared" si="13"/>
        <v>45</v>
      </c>
      <c r="AA644" s="59"/>
      <c r="AB644" s="59" t="s">
        <v>78</v>
      </c>
      <c r="AC644" s="59"/>
      <c r="AD644" s="85">
        <v>46043.0</v>
      </c>
      <c r="AE644" s="86">
        <f t="shared" si="8"/>
        <v>1</v>
      </c>
    </row>
    <row r="645" ht="15.75" customHeight="1">
      <c r="A645" s="92" t="s">
        <v>1928</v>
      </c>
      <c r="B645" s="87" t="s">
        <v>184</v>
      </c>
      <c r="C645" s="88" t="s">
        <v>1929</v>
      </c>
      <c r="D645" s="88" t="s">
        <v>51</v>
      </c>
      <c r="E645" s="88">
        <v>50.0</v>
      </c>
      <c r="F645" s="89">
        <v>2500.0</v>
      </c>
      <c r="G645" s="90" t="s">
        <v>53</v>
      </c>
      <c r="H645" s="91">
        <v>46174.0</v>
      </c>
      <c r="I645" s="92" t="s">
        <v>17</v>
      </c>
      <c r="J645" s="92" t="s">
        <v>54</v>
      </c>
      <c r="K645" s="92" t="s">
        <v>66</v>
      </c>
      <c r="L645" s="92" t="s">
        <v>67</v>
      </c>
      <c r="M645" s="90" t="s">
        <v>68</v>
      </c>
      <c r="N645" s="92" t="s">
        <v>20</v>
      </c>
      <c r="O645" s="87" t="s">
        <v>69</v>
      </c>
      <c r="P645" s="87"/>
      <c r="Q645" s="87" t="s">
        <v>1569</v>
      </c>
      <c r="R645" s="93" t="s">
        <v>269</v>
      </c>
      <c r="S645" s="87"/>
      <c r="T645" s="87"/>
      <c r="U645" s="94" t="str">
        <f t="array" ref="U645">IFERROR(INDEX(DFD!$D$2:$D$1048791,MATCH($Q645,DFD!$B$2:$B$1048791,0)),"")</f>
        <v/>
      </c>
      <c r="V645" s="94" t="str">
        <f t="array" ref="V645">IFERROR(INDEX(DFD!$F$2:$F$1048791,MATCH($Q645,DFD!$B$2:$B$1048791,0)),"")</f>
        <v/>
      </c>
      <c r="W645" s="97" t="str">
        <f t="array" ref="W645">IFERROR(INDEX(DFD!$E$2:$E$1048791,MATCH($Q645,DFD!$B$2:$B$1048791,0)),"")</f>
        <v/>
      </c>
      <c r="X645" s="97" t="str">
        <f t="array" ref="X645">IFERROR(INDEX(DFD!$K$2:$K$1048791,MATCH($Q645,DFD!$B$2:$B$1048791,0)),"")</f>
        <v/>
      </c>
      <c r="Y645" s="97" t="str">
        <f t="array" ref="Y645">IFERROR(INDEX(DFD!$L$2:$L$1048790,MATCH($Q645,DFD!$B$2:$B$1048790,0)),"")</f>
        <v/>
      </c>
      <c r="Z645" s="97">
        <f t="shared" si="13"/>
        <v>45</v>
      </c>
      <c r="AA645" s="87"/>
      <c r="AB645" s="87" t="s">
        <v>78</v>
      </c>
      <c r="AC645" s="87"/>
      <c r="AD645" s="99">
        <v>46043.0</v>
      </c>
      <c r="AE645" s="100">
        <f t="shared" si="8"/>
        <v>1</v>
      </c>
    </row>
    <row r="646" ht="15.75" customHeight="1">
      <c r="A646" s="59" t="s">
        <v>1930</v>
      </c>
      <c r="B646" s="59" t="s">
        <v>101</v>
      </c>
      <c r="C646" s="60" t="s">
        <v>1929</v>
      </c>
      <c r="D646" s="60" t="s">
        <v>51</v>
      </c>
      <c r="E646" s="60">
        <v>15.0</v>
      </c>
      <c r="F646" s="72">
        <v>750.0</v>
      </c>
      <c r="G646" s="73" t="s">
        <v>53</v>
      </c>
      <c r="H646" s="74">
        <v>46174.0</v>
      </c>
      <c r="I646" s="67" t="s">
        <v>17</v>
      </c>
      <c r="J646" s="67" t="s">
        <v>54</v>
      </c>
      <c r="K646" s="67" t="s">
        <v>66</v>
      </c>
      <c r="L646" s="67" t="s">
        <v>56</v>
      </c>
      <c r="M646" s="73" t="s">
        <v>132</v>
      </c>
      <c r="N646" s="67" t="s">
        <v>58</v>
      </c>
      <c r="O646" s="67" t="s">
        <v>89</v>
      </c>
      <c r="P646" s="59"/>
      <c r="Q646" s="59" t="s">
        <v>1569</v>
      </c>
      <c r="R646" s="76" t="s">
        <v>269</v>
      </c>
      <c r="S646" s="59"/>
      <c r="T646" s="59"/>
      <c r="U646" s="77" t="str">
        <f t="array" ref="U646">IFERROR(INDEX(DFD!$D$2:$D$1048791,MATCH($Q646,DFD!$B$2:$B$1048791,0)),"")</f>
        <v/>
      </c>
      <c r="V646" s="77" t="str">
        <f t="array" ref="V646">IFERROR(INDEX(DFD!$F$2:$F$1048791,MATCH($Q646,DFD!$B$2:$B$1048791,0)),"")</f>
        <v/>
      </c>
      <c r="W646" s="84" t="str">
        <f t="array" ref="W646">IFERROR(INDEX(DFD!$E$2:$E$1048791,MATCH($Q646,DFD!$B$2:$B$1048791,0)),"")</f>
        <v/>
      </c>
      <c r="X646" s="84" t="str">
        <f t="array" ref="X646">IFERROR(INDEX(DFD!$K$2:$K$1048791,MATCH($Q646,DFD!$B$2:$B$1048791,0)),"")</f>
        <v/>
      </c>
      <c r="Y646" s="84" t="str">
        <f t="array" ref="Y646">IFERROR(INDEX(DFD!$L$2:$L$1048790,MATCH($Q646,DFD!$B$2:$B$1048790,0)),"")</f>
        <v/>
      </c>
      <c r="Z646" s="84">
        <f t="shared" si="13"/>
        <v>45</v>
      </c>
      <c r="AA646" s="59"/>
      <c r="AB646" s="59" t="s">
        <v>78</v>
      </c>
      <c r="AC646" s="59"/>
      <c r="AD646" s="85">
        <v>46043.0</v>
      </c>
      <c r="AE646" s="86">
        <f t="shared" si="8"/>
        <v>1</v>
      </c>
    </row>
    <row r="647" ht="15.75" customHeight="1">
      <c r="A647" s="87" t="s">
        <v>1931</v>
      </c>
      <c r="B647" s="87" t="s">
        <v>80</v>
      </c>
      <c r="C647" s="88" t="s">
        <v>1929</v>
      </c>
      <c r="D647" s="88" t="s">
        <v>51</v>
      </c>
      <c r="E647" s="88">
        <v>4.0</v>
      </c>
      <c r="F647" s="89">
        <v>200.0</v>
      </c>
      <c r="G647" s="90" t="s">
        <v>53</v>
      </c>
      <c r="H647" s="91">
        <v>46143.0</v>
      </c>
      <c r="I647" s="92" t="s">
        <v>17</v>
      </c>
      <c r="J647" s="92" t="s">
        <v>54</v>
      </c>
      <c r="K647" s="92" t="s">
        <v>66</v>
      </c>
      <c r="L647" s="92" t="s">
        <v>67</v>
      </c>
      <c r="M647" s="90" t="s">
        <v>117</v>
      </c>
      <c r="N647" s="92" t="s">
        <v>5</v>
      </c>
      <c r="O647" s="87" t="s">
        <v>69</v>
      </c>
      <c r="P647" s="87"/>
      <c r="Q647" s="87" t="s">
        <v>1569</v>
      </c>
      <c r="R647" s="93" t="s">
        <v>269</v>
      </c>
      <c r="S647" s="87"/>
      <c r="T647" s="87"/>
      <c r="U647" s="94" t="str">
        <f t="array" ref="U647">IFERROR(INDEX(DFD!$D$2:$D$1048791,MATCH($Q647,DFD!$B$2:$B$1048791,0)),"")</f>
        <v/>
      </c>
      <c r="V647" s="94" t="str">
        <f t="array" ref="V647">IFERROR(INDEX(DFD!$F$2:$F$1048791,MATCH($Q647,DFD!$B$2:$B$1048791,0)),"")</f>
        <v/>
      </c>
      <c r="W647" s="97" t="str">
        <f t="array" ref="W647">IFERROR(INDEX(DFD!$E$2:$E$1048791,MATCH($Q647,DFD!$B$2:$B$1048791,0)),"")</f>
        <v/>
      </c>
      <c r="X647" s="97" t="str">
        <f t="array" ref="X647">IFERROR(INDEX(DFD!$K$2:$K$1048791,MATCH($Q647,DFD!$B$2:$B$1048791,0)),"")</f>
        <v/>
      </c>
      <c r="Y647" s="97" t="str">
        <f t="array" ref="Y647">IFERROR(INDEX(DFD!$L$2:$L$1048790,MATCH($Q647,DFD!$B$2:$B$1048790,0)),"")</f>
        <v/>
      </c>
      <c r="Z647" s="97">
        <f t="shared" si="13"/>
        <v>45</v>
      </c>
      <c r="AA647" s="87"/>
      <c r="AB647" s="87" t="s">
        <v>78</v>
      </c>
      <c r="AC647" s="87"/>
      <c r="AD647" s="99">
        <v>46043.0</v>
      </c>
      <c r="AE647" s="100">
        <f t="shared" si="8"/>
        <v>1</v>
      </c>
    </row>
    <row r="648" ht="15.75" customHeight="1">
      <c r="A648" s="59" t="s">
        <v>1932</v>
      </c>
      <c r="B648" s="59" t="s">
        <v>92</v>
      </c>
      <c r="C648" s="60" t="s">
        <v>1929</v>
      </c>
      <c r="D648" s="60" t="s">
        <v>51</v>
      </c>
      <c r="E648" s="60">
        <v>4.0</v>
      </c>
      <c r="F648" s="72">
        <v>200.0</v>
      </c>
      <c r="G648" s="73" t="s">
        <v>53</v>
      </c>
      <c r="H648" s="74">
        <v>46143.0</v>
      </c>
      <c r="I648" s="67" t="s">
        <v>17</v>
      </c>
      <c r="J648" s="67" t="s">
        <v>54</v>
      </c>
      <c r="K648" s="67" t="s">
        <v>66</v>
      </c>
      <c r="L648" s="67" t="s">
        <v>67</v>
      </c>
      <c r="M648" s="73" t="s">
        <v>117</v>
      </c>
      <c r="N648" s="67" t="s">
        <v>5</v>
      </c>
      <c r="O648" s="59" t="s">
        <v>69</v>
      </c>
      <c r="P648" s="59"/>
      <c r="Q648" s="59" t="s">
        <v>1569</v>
      </c>
      <c r="R648" s="76" t="s">
        <v>269</v>
      </c>
      <c r="S648" s="59"/>
      <c r="T648" s="59"/>
      <c r="U648" s="77" t="str">
        <f t="array" ref="U648">IFERROR(INDEX(DFD!$D$2:$D$1048791,MATCH($Q648,DFD!$B$2:$B$1048791,0)),"")</f>
        <v/>
      </c>
      <c r="V648" s="77" t="str">
        <f t="array" ref="V648">IFERROR(INDEX(DFD!$F$2:$F$1048791,MATCH($Q648,DFD!$B$2:$B$1048791,0)),"")</f>
        <v/>
      </c>
      <c r="W648" s="84" t="str">
        <f t="array" ref="W648">IFERROR(INDEX(DFD!$E$2:$E$1048791,MATCH($Q648,DFD!$B$2:$B$1048791,0)),"")</f>
        <v/>
      </c>
      <c r="X648" s="84" t="str">
        <f t="array" ref="X648">IFERROR(INDEX(DFD!$K$2:$K$1048791,MATCH($Q648,DFD!$B$2:$B$1048791,0)),"")</f>
        <v/>
      </c>
      <c r="Y648" s="84" t="str">
        <f t="array" ref="Y648">IFERROR(INDEX(DFD!$L$2:$L$1048790,MATCH($Q648,DFD!$B$2:$B$1048790,0)),"")</f>
        <v/>
      </c>
      <c r="Z648" s="84">
        <f t="shared" si="13"/>
        <v>45</v>
      </c>
      <c r="AA648" s="59"/>
      <c r="AB648" s="59" t="s">
        <v>78</v>
      </c>
      <c r="AC648" s="59"/>
      <c r="AD648" s="85">
        <v>46043.0</v>
      </c>
      <c r="AE648" s="86">
        <f t="shared" si="8"/>
        <v>1</v>
      </c>
    </row>
    <row r="649" ht="15.75" customHeight="1">
      <c r="A649" s="87" t="s">
        <v>1933</v>
      </c>
      <c r="B649" s="87" t="s">
        <v>95</v>
      </c>
      <c r="C649" s="88" t="s">
        <v>1929</v>
      </c>
      <c r="D649" s="88" t="s">
        <v>51</v>
      </c>
      <c r="E649" s="88">
        <v>4.0</v>
      </c>
      <c r="F649" s="89">
        <v>200.0</v>
      </c>
      <c r="G649" s="90" t="s">
        <v>53</v>
      </c>
      <c r="H649" s="91">
        <v>46143.0</v>
      </c>
      <c r="I649" s="92" t="s">
        <v>17</v>
      </c>
      <c r="J649" s="92" t="s">
        <v>54</v>
      </c>
      <c r="K649" s="92" t="s">
        <v>66</v>
      </c>
      <c r="L649" s="92" t="s">
        <v>67</v>
      </c>
      <c r="M649" s="90" t="s">
        <v>117</v>
      </c>
      <c r="N649" s="92" t="s">
        <v>5</v>
      </c>
      <c r="O649" s="92" t="s">
        <v>89</v>
      </c>
      <c r="P649" s="87"/>
      <c r="Q649" s="87" t="s">
        <v>1569</v>
      </c>
      <c r="R649" s="93" t="s">
        <v>269</v>
      </c>
      <c r="S649" s="87"/>
      <c r="T649" s="87"/>
      <c r="U649" s="94" t="str">
        <f t="array" ref="U649">IFERROR(INDEX(DFD!$D$2:$D$1048791,MATCH($Q649,DFD!$B$2:$B$1048791,0)),"")</f>
        <v/>
      </c>
      <c r="V649" s="94" t="str">
        <f t="array" ref="V649">IFERROR(INDEX(DFD!$F$2:$F$1048791,MATCH($Q649,DFD!$B$2:$B$1048791,0)),"")</f>
        <v/>
      </c>
      <c r="W649" s="97" t="str">
        <f t="array" ref="W649">IFERROR(INDEX(DFD!$E$2:$E$1048791,MATCH($Q649,DFD!$B$2:$B$1048791,0)),"")</f>
        <v/>
      </c>
      <c r="X649" s="97" t="str">
        <f t="array" ref="X649">IFERROR(INDEX(DFD!$K$2:$K$1048791,MATCH($Q649,DFD!$B$2:$B$1048791,0)),"")</f>
        <v/>
      </c>
      <c r="Y649" s="97" t="str">
        <f t="array" ref="Y649">IFERROR(INDEX(DFD!$L$2:$L$1048790,MATCH($Q649,DFD!$B$2:$B$1048790,0)),"")</f>
        <v/>
      </c>
      <c r="Z649" s="97">
        <f t="shared" si="13"/>
        <v>45</v>
      </c>
      <c r="AA649" s="87"/>
      <c r="AB649" s="87" t="s">
        <v>78</v>
      </c>
      <c r="AC649" s="87"/>
      <c r="AD649" s="99">
        <v>46043.0</v>
      </c>
      <c r="AE649" s="100">
        <f t="shared" si="8"/>
        <v>1</v>
      </c>
    </row>
    <row r="650" ht="15.75" customHeight="1">
      <c r="A650" s="59" t="s">
        <v>1934</v>
      </c>
      <c r="B650" s="59" t="s">
        <v>602</v>
      </c>
      <c r="C650" s="60" t="s">
        <v>1929</v>
      </c>
      <c r="D650" s="60" t="s">
        <v>51</v>
      </c>
      <c r="E650" s="60">
        <v>2.0</v>
      </c>
      <c r="F650" s="72">
        <v>100.0</v>
      </c>
      <c r="G650" s="73" t="s">
        <v>53</v>
      </c>
      <c r="H650" s="74">
        <v>46143.0</v>
      </c>
      <c r="I650" s="67" t="s">
        <v>17</v>
      </c>
      <c r="J650" s="67" t="s">
        <v>54</v>
      </c>
      <c r="K650" s="67" t="s">
        <v>66</v>
      </c>
      <c r="L650" s="67" t="s">
        <v>67</v>
      </c>
      <c r="M650" s="73" t="s">
        <v>132</v>
      </c>
      <c r="N650" s="67" t="s">
        <v>5</v>
      </c>
      <c r="O650" s="59" t="s">
        <v>69</v>
      </c>
      <c r="P650" s="59"/>
      <c r="Q650" s="59" t="s">
        <v>1569</v>
      </c>
      <c r="R650" s="76" t="s">
        <v>269</v>
      </c>
      <c r="S650" s="59"/>
      <c r="T650" s="59"/>
      <c r="U650" s="77" t="str">
        <f t="array" ref="U650">IFERROR(INDEX(DFD!$D$2:$D$1048791,MATCH($Q650,DFD!$B$2:$B$1048791,0)),"")</f>
        <v/>
      </c>
      <c r="V650" s="77" t="str">
        <f t="array" ref="V650">IFERROR(INDEX(DFD!$F$2:$F$1048791,MATCH($Q650,DFD!$B$2:$B$1048791,0)),"")</f>
        <v/>
      </c>
      <c r="W650" s="84" t="str">
        <f t="array" ref="W650">IFERROR(INDEX(DFD!$E$2:$E$1048791,MATCH($Q650,DFD!$B$2:$B$1048791,0)),"")</f>
        <v/>
      </c>
      <c r="X650" s="84" t="str">
        <f t="array" ref="X650">IFERROR(INDEX(DFD!$K$2:$K$1048791,MATCH($Q650,DFD!$B$2:$B$1048791,0)),"")</f>
        <v/>
      </c>
      <c r="Y650" s="84" t="str">
        <f t="array" ref="Y650">IFERROR(INDEX(DFD!$L$2:$L$1048790,MATCH($Q650,DFD!$B$2:$B$1048790,0)),"")</f>
        <v/>
      </c>
      <c r="Z650" s="84">
        <f t="shared" si="13"/>
        <v>45</v>
      </c>
      <c r="AA650" s="59"/>
      <c r="AB650" s="59" t="s">
        <v>78</v>
      </c>
      <c r="AC650" s="59"/>
      <c r="AD650" s="85">
        <v>46043.0</v>
      </c>
      <c r="AE650" s="86">
        <f t="shared" si="8"/>
        <v>1</v>
      </c>
    </row>
    <row r="651" ht="15.75" customHeight="1">
      <c r="A651" s="87" t="s">
        <v>1935</v>
      </c>
      <c r="B651" s="71" t="s">
        <v>101</v>
      </c>
      <c r="C651" s="88" t="s">
        <v>1936</v>
      </c>
      <c r="D651" s="88" t="s">
        <v>51</v>
      </c>
      <c r="E651" s="88">
        <v>16.0</v>
      </c>
      <c r="F651" s="89">
        <v>12800.0</v>
      </c>
      <c r="G651" s="90" t="s">
        <v>53</v>
      </c>
      <c r="H651" s="91">
        <v>46235.0</v>
      </c>
      <c r="I651" s="92" t="s">
        <v>17</v>
      </c>
      <c r="J651" s="92" t="s">
        <v>54</v>
      </c>
      <c r="K651" s="92" t="s">
        <v>66</v>
      </c>
      <c r="L651" s="92" t="s">
        <v>56</v>
      </c>
      <c r="M651" s="90" t="s">
        <v>68</v>
      </c>
      <c r="N651" s="92" t="s">
        <v>58</v>
      </c>
      <c r="O651" s="87" t="s">
        <v>69</v>
      </c>
      <c r="P651" s="87"/>
      <c r="Q651" s="87" t="s">
        <v>1916</v>
      </c>
      <c r="R651" s="93" t="s">
        <v>71</v>
      </c>
      <c r="S651" s="87"/>
      <c r="T651" s="87"/>
      <c r="U651" s="94" t="str">
        <f t="array" ref="U651">IFERROR(INDEX(DFD!$D$2:$D$1048791,MATCH($Q651,DFD!$B$2:$B$1048791,0)),"")</f>
        <v/>
      </c>
      <c r="V651" s="94" t="str">
        <f t="array" ref="V651">IFERROR(INDEX(DFD!$F$2:$F$1048791,MATCH($Q651,DFD!$B$2:$B$1048791,0)),"")</f>
        <v/>
      </c>
      <c r="W651" s="97" t="str">
        <f t="array" ref="W651">IFERROR(INDEX(DFD!$E$2:$E$1048791,MATCH($Q651,DFD!$B$2:$B$1048791,0)),"")</f>
        <v/>
      </c>
      <c r="X651" s="97" t="str">
        <f t="array" ref="X651">IFERROR(INDEX(DFD!$K$2:$K$1048791,MATCH($Q651,DFD!$B$2:$B$1048791,0)),"")</f>
        <v/>
      </c>
      <c r="Y651" s="97" t="str">
        <f t="array" ref="Y651">IFERROR(INDEX(DFD!$L$2:$L$1048790,MATCH($Q651,DFD!$B$2:$B$1048790,0)),"")</f>
        <v/>
      </c>
      <c r="Z651" s="97">
        <f t="shared" si="13"/>
        <v>45</v>
      </c>
      <c r="AA651" s="87"/>
      <c r="AB651" s="87" t="s">
        <v>78</v>
      </c>
      <c r="AC651" s="87"/>
      <c r="AD651" s="99">
        <v>46043.0</v>
      </c>
      <c r="AE651" s="100">
        <f t="shared" si="8"/>
        <v>1</v>
      </c>
    </row>
    <row r="652" ht="15.75" customHeight="1">
      <c r="A652" s="59" t="s">
        <v>1937</v>
      </c>
      <c r="B652" s="59" t="s">
        <v>355</v>
      </c>
      <c r="C652" s="60" t="s">
        <v>1938</v>
      </c>
      <c r="D652" s="60" t="s">
        <v>51</v>
      </c>
      <c r="E652" s="60">
        <v>30.0</v>
      </c>
      <c r="F652" s="72">
        <v>150.0</v>
      </c>
      <c r="G652" s="73" t="s">
        <v>53</v>
      </c>
      <c r="H652" s="74">
        <v>46143.0</v>
      </c>
      <c r="I652" s="67" t="s">
        <v>17</v>
      </c>
      <c r="J652" s="67" t="s">
        <v>54</v>
      </c>
      <c r="K652" s="67" t="s">
        <v>66</v>
      </c>
      <c r="L652" s="67" t="s">
        <v>56</v>
      </c>
      <c r="M652" s="73" t="s">
        <v>68</v>
      </c>
      <c r="N652" s="67" t="s">
        <v>58</v>
      </c>
      <c r="O652" s="67" t="s">
        <v>89</v>
      </c>
      <c r="P652" s="59"/>
      <c r="Q652" s="59" t="s">
        <v>800</v>
      </c>
      <c r="R652" s="76" t="s">
        <v>287</v>
      </c>
      <c r="S652" s="59"/>
      <c r="T652" s="59"/>
      <c r="U652" s="77" t="str">
        <f t="array" ref="U652">IFERROR(INDEX(DFD!$D$2:$D$1048791,MATCH($Q652,DFD!$B$2:$B$1048791,0)),"")</f>
        <v/>
      </c>
      <c r="V652" s="77" t="str">
        <f t="array" ref="V652">IFERROR(INDEX(DFD!$F$2:$F$1048791,MATCH($Q652,DFD!$B$2:$B$1048791,0)),"")</f>
        <v/>
      </c>
      <c r="W652" s="84" t="str">
        <f t="array" ref="W652">IFERROR(INDEX(DFD!$E$2:$E$1048791,MATCH($Q652,DFD!$B$2:$B$1048791,0)),"")</f>
        <v/>
      </c>
      <c r="X652" s="84" t="str">
        <f t="array" ref="X652">IFERROR(INDEX(DFD!$K$2:$K$1048791,MATCH($Q652,DFD!$B$2:$B$1048791,0)),"")</f>
        <v/>
      </c>
      <c r="Y652" s="84" t="str">
        <f t="array" ref="Y652">IFERROR(INDEX(DFD!$L$2:$L$1048790,MATCH($Q652,DFD!$B$2:$B$1048790,0)),"")</f>
        <v/>
      </c>
      <c r="Z652" s="84">
        <f t="shared" si="13"/>
        <v>45</v>
      </c>
      <c r="AA652" s="59"/>
      <c r="AB652" s="59" t="s">
        <v>78</v>
      </c>
      <c r="AC652" s="59"/>
      <c r="AD652" s="85">
        <v>46043.0</v>
      </c>
      <c r="AE652" s="86">
        <f t="shared" si="8"/>
        <v>1</v>
      </c>
    </row>
    <row r="653" ht="15.75" customHeight="1">
      <c r="A653" s="87" t="s">
        <v>1939</v>
      </c>
      <c r="B653" s="87" t="s">
        <v>101</v>
      </c>
      <c r="C653" s="88" t="s">
        <v>1938</v>
      </c>
      <c r="D653" s="88" t="s">
        <v>51</v>
      </c>
      <c r="E653" s="88">
        <v>10.0</v>
      </c>
      <c r="F653" s="89">
        <v>50.0</v>
      </c>
      <c r="G653" s="90" t="s">
        <v>53</v>
      </c>
      <c r="H653" s="91">
        <v>46143.0</v>
      </c>
      <c r="I653" s="92" t="s">
        <v>17</v>
      </c>
      <c r="J653" s="92" t="s">
        <v>54</v>
      </c>
      <c r="K653" s="92" t="s">
        <v>66</v>
      </c>
      <c r="L653" s="92" t="s">
        <v>56</v>
      </c>
      <c r="M653" s="90" t="s">
        <v>167</v>
      </c>
      <c r="N653" s="92" t="s">
        <v>58</v>
      </c>
      <c r="O653" s="87" t="s">
        <v>69</v>
      </c>
      <c r="P653" s="87"/>
      <c r="Q653" s="87" t="s">
        <v>800</v>
      </c>
      <c r="R653" s="93" t="s">
        <v>287</v>
      </c>
      <c r="S653" s="87"/>
      <c r="T653" s="87"/>
      <c r="U653" s="94" t="str">
        <f t="array" ref="U653">IFERROR(INDEX(DFD!$D$2:$D$1048791,MATCH($Q653,DFD!$B$2:$B$1048791,0)),"")</f>
        <v/>
      </c>
      <c r="V653" s="94" t="str">
        <f t="array" ref="V653">IFERROR(INDEX(DFD!$F$2:$F$1048791,MATCH($Q653,DFD!$B$2:$B$1048791,0)),"")</f>
        <v/>
      </c>
      <c r="W653" s="97" t="str">
        <f t="array" ref="W653">IFERROR(INDEX(DFD!$E$2:$E$1048791,MATCH($Q653,DFD!$B$2:$B$1048791,0)),"")</f>
        <v/>
      </c>
      <c r="X653" s="97" t="str">
        <f t="array" ref="X653">IFERROR(INDEX(DFD!$K$2:$K$1048791,MATCH($Q653,DFD!$B$2:$B$1048791,0)),"")</f>
        <v/>
      </c>
      <c r="Y653" s="97" t="str">
        <f t="array" ref="Y653">IFERROR(INDEX(DFD!$L$2:$L$1048790,MATCH($Q653,DFD!$B$2:$B$1048790,0)),"")</f>
        <v/>
      </c>
      <c r="Z653" s="97">
        <f t="shared" si="13"/>
        <v>45</v>
      </c>
      <c r="AA653" s="87"/>
      <c r="AB653" s="87" t="s">
        <v>78</v>
      </c>
      <c r="AC653" s="87"/>
      <c r="AD653" s="99">
        <v>46043.0</v>
      </c>
      <c r="AE653" s="100">
        <f t="shared" si="8"/>
        <v>1</v>
      </c>
    </row>
    <row r="654" ht="15.75" customHeight="1">
      <c r="A654" s="59" t="s">
        <v>1940</v>
      </c>
      <c r="B654" s="59" t="s">
        <v>148</v>
      </c>
      <c r="C654" s="60" t="s">
        <v>1941</v>
      </c>
      <c r="D654" s="60" t="s">
        <v>51</v>
      </c>
      <c r="E654" s="60">
        <v>10.0</v>
      </c>
      <c r="F654" s="72">
        <v>110.0</v>
      </c>
      <c r="G654" s="73" t="s">
        <v>53</v>
      </c>
      <c r="H654" s="74">
        <v>46143.0</v>
      </c>
      <c r="I654" s="67" t="s">
        <v>17</v>
      </c>
      <c r="J654" s="67" t="s">
        <v>54</v>
      </c>
      <c r="K654" s="67" t="s">
        <v>66</v>
      </c>
      <c r="L654" s="67" t="s">
        <v>67</v>
      </c>
      <c r="M654" s="73" t="s">
        <v>167</v>
      </c>
      <c r="N654" s="67" t="s">
        <v>5</v>
      </c>
      <c r="O654" s="59" t="s">
        <v>69</v>
      </c>
      <c r="P654" s="59"/>
      <c r="Q654" s="59" t="s">
        <v>800</v>
      </c>
      <c r="R654" s="76" t="s">
        <v>287</v>
      </c>
      <c r="S654" s="59"/>
      <c r="T654" s="59"/>
      <c r="U654" s="77" t="str">
        <f t="array" ref="U654">IFERROR(INDEX(DFD!$D$2:$D$1048791,MATCH($Q654,DFD!$B$2:$B$1048791,0)),"")</f>
        <v/>
      </c>
      <c r="V654" s="77" t="str">
        <f t="array" ref="V654">IFERROR(INDEX(DFD!$F$2:$F$1048791,MATCH($Q654,DFD!$B$2:$B$1048791,0)),"")</f>
        <v/>
      </c>
      <c r="W654" s="84" t="str">
        <f t="array" ref="W654">IFERROR(INDEX(DFD!$E$2:$E$1048791,MATCH($Q654,DFD!$B$2:$B$1048791,0)),"")</f>
        <v/>
      </c>
      <c r="X654" s="84" t="str">
        <f t="array" ref="X654">IFERROR(INDEX(DFD!$K$2:$K$1048791,MATCH($Q654,DFD!$B$2:$B$1048791,0)),"")</f>
        <v/>
      </c>
      <c r="Y654" s="84" t="str">
        <f t="array" ref="Y654">IFERROR(INDEX(DFD!$L$2:$L$1048790,MATCH($Q654,DFD!$B$2:$B$1048790,0)),"")</f>
        <v/>
      </c>
      <c r="Z654" s="84">
        <f t="shared" si="13"/>
        <v>45</v>
      </c>
      <c r="AA654" s="59"/>
      <c r="AB654" s="59" t="s">
        <v>78</v>
      </c>
      <c r="AC654" s="59"/>
      <c r="AD654" s="85">
        <v>46043.0</v>
      </c>
      <c r="AE654" s="86">
        <f t="shared" si="8"/>
        <v>1</v>
      </c>
    </row>
    <row r="655" ht="15.75" customHeight="1">
      <c r="A655" s="92" t="s">
        <v>1942</v>
      </c>
      <c r="B655" s="87" t="s">
        <v>184</v>
      </c>
      <c r="C655" s="88" t="s">
        <v>1943</v>
      </c>
      <c r="D655" s="88" t="s">
        <v>51</v>
      </c>
      <c r="E655" s="88">
        <v>60.0</v>
      </c>
      <c r="F655" s="89">
        <v>90.0</v>
      </c>
      <c r="G655" s="90" t="s">
        <v>53</v>
      </c>
      <c r="H655" s="91">
        <v>46143.0</v>
      </c>
      <c r="I655" s="92" t="s">
        <v>17</v>
      </c>
      <c r="J655" s="92" t="s">
        <v>54</v>
      </c>
      <c r="K655" s="92" t="s">
        <v>66</v>
      </c>
      <c r="L655" s="92" t="s">
        <v>67</v>
      </c>
      <c r="M655" s="90" t="s">
        <v>167</v>
      </c>
      <c r="N655" s="92" t="s">
        <v>20</v>
      </c>
      <c r="O655" s="92" t="s">
        <v>89</v>
      </c>
      <c r="P655" s="87"/>
      <c r="Q655" s="87" t="s">
        <v>286</v>
      </c>
      <c r="R655" s="93" t="s">
        <v>287</v>
      </c>
      <c r="S655" s="87"/>
      <c r="T655" s="87"/>
      <c r="U655" s="94" t="str">
        <f t="array" ref="U655">IFERROR(INDEX(DFD!$D$2:$D$1048791,MATCH($Q655,DFD!$B$2:$B$1048791,0)),"")</f>
        <v/>
      </c>
      <c r="V655" s="94" t="str">
        <f t="array" ref="V655">IFERROR(INDEX(DFD!$F$2:$F$1048791,MATCH($Q655,DFD!$B$2:$B$1048791,0)),"")</f>
        <v/>
      </c>
      <c r="W655" s="97" t="str">
        <f t="array" ref="W655">IFERROR(INDEX(DFD!$E$2:$E$1048791,MATCH($Q655,DFD!$B$2:$B$1048791,0)),"")</f>
        <v/>
      </c>
      <c r="X655" s="97" t="str">
        <f t="array" ref="X655">IFERROR(INDEX(DFD!$K$2:$K$1048791,MATCH($Q655,DFD!$B$2:$B$1048791,0)),"")</f>
        <v/>
      </c>
      <c r="Y655" s="97" t="str">
        <f t="array" ref="Y655">IFERROR(INDEX(DFD!$L$2:$L$1048790,MATCH($Q655,DFD!$B$2:$B$1048790,0)),"")</f>
        <v/>
      </c>
      <c r="Z655" s="97">
        <f t="shared" si="13"/>
        <v>45</v>
      </c>
      <c r="AA655" s="87"/>
      <c r="AB655" s="87" t="s">
        <v>288</v>
      </c>
      <c r="AC655" s="87"/>
      <c r="AD655" s="99">
        <v>46043.0</v>
      </c>
      <c r="AE655" s="100">
        <f t="shared" si="8"/>
        <v>1</v>
      </c>
    </row>
    <row r="656" ht="15.75" customHeight="1">
      <c r="A656" s="67" t="s">
        <v>1944</v>
      </c>
      <c r="B656" s="59" t="s">
        <v>184</v>
      </c>
      <c r="C656" s="60" t="s">
        <v>1945</v>
      </c>
      <c r="D656" s="60" t="s">
        <v>51</v>
      </c>
      <c r="E656" s="60">
        <v>30.0</v>
      </c>
      <c r="F656" s="72">
        <v>45.0</v>
      </c>
      <c r="G656" s="73" t="s">
        <v>53</v>
      </c>
      <c r="H656" s="74">
        <v>46143.0</v>
      </c>
      <c r="I656" s="67" t="s">
        <v>17</v>
      </c>
      <c r="J656" s="67" t="s">
        <v>54</v>
      </c>
      <c r="K656" s="67" t="s">
        <v>66</v>
      </c>
      <c r="L656" s="67" t="s">
        <v>67</v>
      </c>
      <c r="M656" s="73" t="s">
        <v>167</v>
      </c>
      <c r="N656" s="67" t="s">
        <v>20</v>
      </c>
      <c r="O656" s="59" t="s">
        <v>69</v>
      </c>
      <c r="P656" s="59"/>
      <c r="Q656" s="59" t="s">
        <v>286</v>
      </c>
      <c r="R656" s="76" t="s">
        <v>287</v>
      </c>
      <c r="S656" s="59"/>
      <c r="T656" s="59"/>
      <c r="U656" s="77" t="str">
        <f t="array" ref="U656">IFERROR(INDEX(DFD!$D$2:$D$1048791,MATCH($Q656,DFD!$B$2:$B$1048791,0)),"")</f>
        <v/>
      </c>
      <c r="V656" s="77" t="str">
        <f t="array" ref="V656">IFERROR(INDEX(DFD!$F$2:$F$1048791,MATCH($Q656,DFD!$B$2:$B$1048791,0)),"")</f>
        <v/>
      </c>
      <c r="W656" s="84" t="str">
        <f t="array" ref="W656">IFERROR(INDEX(DFD!$E$2:$E$1048791,MATCH($Q656,DFD!$B$2:$B$1048791,0)),"")</f>
        <v/>
      </c>
      <c r="X656" s="84" t="str">
        <f t="array" ref="X656">IFERROR(INDEX(DFD!$K$2:$K$1048791,MATCH($Q656,DFD!$B$2:$B$1048791,0)),"")</f>
        <v/>
      </c>
      <c r="Y656" s="84" t="str">
        <f t="array" ref="Y656">IFERROR(INDEX(DFD!$L$2:$L$1048790,MATCH($Q656,DFD!$B$2:$B$1048790,0)),"")</f>
        <v/>
      </c>
      <c r="Z656" s="84">
        <f t="shared" si="13"/>
        <v>45</v>
      </c>
      <c r="AA656" s="59"/>
      <c r="AB656" s="59" t="s">
        <v>288</v>
      </c>
      <c r="AC656" s="59"/>
      <c r="AD656" s="85">
        <v>46043.0</v>
      </c>
      <c r="AE656" s="86">
        <f t="shared" si="8"/>
        <v>1</v>
      </c>
    </row>
    <row r="657" ht="15.75" customHeight="1">
      <c r="A657" s="92" t="s">
        <v>1946</v>
      </c>
      <c r="B657" s="87" t="s">
        <v>184</v>
      </c>
      <c r="C657" s="88" t="s">
        <v>1947</v>
      </c>
      <c r="D657" s="88" t="s">
        <v>51</v>
      </c>
      <c r="E657" s="88">
        <v>30.0</v>
      </c>
      <c r="F657" s="89">
        <v>216.0</v>
      </c>
      <c r="G657" s="90" t="s">
        <v>53</v>
      </c>
      <c r="H657" s="91">
        <v>46143.0</v>
      </c>
      <c r="I657" s="92" t="s">
        <v>17</v>
      </c>
      <c r="J657" s="92" t="s">
        <v>54</v>
      </c>
      <c r="K657" s="92" t="s">
        <v>66</v>
      </c>
      <c r="L657" s="92" t="s">
        <v>67</v>
      </c>
      <c r="M657" s="90" t="s">
        <v>167</v>
      </c>
      <c r="N657" s="92" t="s">
        <v>20</v>
      </c>
      <c r="O657" s="87" t="s">
        <v>69</v>
      </c>
      <c r="P657" s="87"/>
      <c r="Q657" s="87" t="s">
        <v>286</v>
      </c>
      <c r="R657" s="93" t="s">
        <v>287</v>
      </c>
      <c r="S657" s="87"/>
      <c r="T657" s="87"/>
      <c r="U657" s="94" t="str">
        <f t="array" ref="U657">IFERROR(INDEX(DFD!$D$2:$D$1048791,MATCH($Q657,DFD!$B$2:$B$1048791,0)),"")</f>
        <v/>
      </c>
      <c r="V657" s="94" t="str">
        <f t="array" ref="V657">IFERROR(INDEX(DFD!$F$2:$F$1048791,MATCH($Q657,DFD!$B$2:$B$1048791,0)),"")</f>
        <v/>
      </c>
      <c r="W657" s="97" t="str">
        <f t="array" ref="W657">IFERROR(INDEX(DFD!$E$2:$E$1048791,MATCH($Q657,DFD!$B$2:$B$1048791,0)),"")</f>
        <v/>
      </c>
      <c r="X657" s="97" t="str">
        <f t="array" ref="X657">IFERROR(INDEX(DFD!$K$2:$K$1048791,MATCH($Q657,DFD!$B$2:$B$1048791,0)),"")</f>
        <v/>
      </c>
      <c r="Y657" s="97" t="str">
        <f t="array" ref="Y657">IFERROR(INDEX(DFD!$L$2:$L$1048790,MATCH($Q657,DFD!$B$2:$B$1048790,0)),"")</f>
        <v/>
      </c>
      <c r="Z657" s="97">
        <f t="shared" si="13"/>
        <v>45</v>
      </c>
      <c r="AA657" s="87"/>
      <c r="AB657" s="87" t="s">
        <v>288</v>
      </c>
      <c r="AC657" s="87"/>
      <c r="AD657" s="99">
        <v>46043.0</v>
      </c>
      <c r="AE657" s="100">
        <f t="shared" si="8"/>
        <v>1</v>
      </c>
    </row>
    <row r="658" ht="15.75" customHeight="1">
      <c r="A658" s="59" t="s">
        <v>1948</v>
      </c>
      <c r="B658" s="59" t="s">
        <v>136</v>
      </c>
      <c r="C658" s="60" t="s">
        <v>1949</v>
      </c>
      <c r="D658" s="60" t="s">
        <v>1950</v>
      </c>
      <c r="E658" s="60">
        <v>50.0</v>
      </c>
      <c r="F658" s="72">
        <v>450.0</v>
      </c>
      <c r="G658" s="73" t="s">
        <v>53</v>
      </c>
      <c r="H658" s="74">
        <v>46174.0</v>
      </c>
      <c r="I658" s="67" t="s">
        <v>17</v>
      </c>
      <c r="J658" s="67" t="s">
        <v>54</v>
      </c>
      <c r="K658" s="67" t="s">
        <v>66</v>
      </c>
      <c r="L658" s="67" t="s">
        <v>67</v>
      </c>
      <c r="M658" s="73" t="s">
        <v>132</v>
      </c>
      <c r="N658" s="67" t="s">
        <v>5</v>
      </c>
      <c r="O658" s="67" t="s">
        <v>89</v>
      </c>
      <c r="P658" s="59"/>
      <c r="Q658" s="59" t="s">
        <v>139</v>
      </c>
      <c r="R658" s="76" t="s">
        <v>140</v>
      </c>
      <c r="S658" s="59"/>
      <c r="T658" s="59"/>
      <c r="U658" s="77" t="str">
        <f t="array" ref="U658">IFERROR(INDEX(DFD!$D$2:$D$1048791,MATCH($Q658,DFD!$B$2:$B$1048791,0)),"")</f>
        <v/>
      </c>
      <c r="V658" s="77" t="str">
        <f t="array" ref="V658">IFERROR(INDEX(DFD!$F$2:$F$1048791,MATCH($Q658,DFD!$B$2:$B$1048791,0)),"")</f>
        <v/>
      </c>
      <c r="W658" s="84" t="str">
        <f t="array" ref="W658">IFERROR(INDEX(DFD!$E$2:$E$1048791,MATCH($Q658,DFD!$B$2:$B$1048791,0)),"")</f>
        <v/>
      </c>
      <c r="X658" s="84" t="str">
        <f t="array" ref="X658">IFERROR(INDEX(DFD!$K$2:$K$1048791,MATCH($Q658,DFD!$B$2:$B$1048791,0)),"")</f>
        <v/>
      </c>
      <c r="Y658" s="84" t="str">
        <f t="array" ref="Y658">IFERROR(INDEX(DFD!$L$2:$L$1048790,MATCH($Q658,DFD!$B$2:$B$1048790,0)),"")</f>
        <v/>
      </c>
      <c r="Z658" s="84">
        <f t="shared" si="13"/>
        <v>45</v>
      </c>
      <c r="AA658" s="59"/>
      <c r="AB658" s="59" t="s">
        <v>78</v>
      </c>
      <c r="AC658" s="59"/>
      <c r="AD658" s="85">
        <v>46043.0</v>
      </c>
      <c r="AE658" s="86">
        <f t="shared" si="8"/>
        <v>1</v>
      </c>
    </row>
    <row r="659" ht="15.75" customHeight="1">
      <c r="A659" s="87" t="s">
        <v>1951</v>
      </c>
      <c r="B659" s="87" t="s">
        <v>148</v>
      </c>
      <c r="C659" s="88" t="s">
        <v>1952</v>
      </c>
      <c r="D659" s="88" t="s">
        <v>1953</v>
      </c>
      <c r="E659" s="88">
        <v>10.0</v>
      </c>
      <c r="F659" s="89">
        <v>200.0</v>
      </c>
      <c r="G659" s="90" t="s">
        <v>53</v>
      </c>
      <c r="H659" s="91">
        <v>46143.0</v>
      </c>
      <c r="I659" s="92" t="s">
        <v>17</v>
      </c>
      <c r="J659" s="92" t="s">
        <v>54</v>
      </c>
      <c r="K659" s="92" t="s">
        <v>66</v>
      </c>
      <c r="L659" s="92" t="s">
        <v>67</v>
      </c>
      <c r="M659" s="90" t="s">
        <v>132</v>
      </c>
      <c r="N659" s="92" t="s">
        <v>5</v>
      </c>
      <c r="O659" s="87" t="s">
        <v>69</v>
      </c>
      <c r="P659" s="87"/>
      <c r="Q659" s="87" t="s">
        <v>268</v>
      </c>
      <c r="R659" s="93" t="s">
        <v>269</v>
      </c>
      <c r="S659" s="87"/>
      <c r="T659" s="87"/>
      <c r="U659" s="94" t="str">
        <f t="array" ref="U659">IFERROR(INDEX(DFD!$D$2:$D$1048791,MATCH($Q659,DFD!$B$2:$B$1048791,0)),"")</f>
        <v/>
      </c>
      <c r="V659" s="94" t="str">
        <f t="array" ref="V659">IFERROR(INDEX(DFD!$F$2:$F$1048791,MATCH($Q659,DFD!$B$2:$B$1048791,0)),"")</f>
        <v/>
      </c>
      <c r="W659" s="97" t="str">
        <f t="array" ref="W659">IFERROR(INDEX(DFD!$E$2:$E$1048791,MATCH($Q659,DFD!$B$2:$B$1048791,0)),"")</f>
        <v/>
      </c>
      <c r="X659" s="97" t="str">
        <f t="array" ref="X659">IFERROR(INDEX(DFD!$K$2:$K$1048791,MATCH($Q659,DFD!$B$2:$B$1048791,0)),"")</f>
        <v/>
      </c>
      <c r="Y659" s="97" t="str">
        <f t="array" ref="Y659">IFERROR(INDEX(DFD!$L$2:$L$1048790,MATCH($Q659,DFD!$B$2:$B$1048790,0)),"")</f>
        <v/>
      </c>
      <c r="Z659" s="97">
        <f t="shared" si="13"/>
        <v>45</v>
      </c>
      <c r="AA659" s="87"/>
      <c r="AB659" s="87" t="s">
        <v>78</v>
      </c>
      <c r="AC659" s="87"/>
      <c r="AD659" s="99">
        <v>46043.0</v>
      </c>
      <c r="AE659" s="100">
        <f t="shared" si="8"/>
        <v>1</v>
      </c>
    </row>
    <row r="660" ht="15.75" customHeight="1">
      <c r="A660" s="67" t="s">
        <v>1954</v>
      </c>
      <c r="B660" s="59" t="s">
        <v>155</v>
      </c>
      <c r="C660" s="60" t="s">
        <v>1955</v>
      </c>
      <c r="D660" s="60" t="s">
        <v>51</v>
      </c>
      <c r="E660" s="60">
        <v>2.0</v>
      </c>
      <c r="F660" s="72">
        <v>30000.0</v>
      </c>
      <c r="G660" s="73" t="s">
        <v>53</v>
      </c>
      <c r="H660" s="74">
        <v>46204.0</v>
      </c>
      <c r="I660" s="67" t="s">
        <v>18</v>
      </c>
      <c r="J660" s="67" t="s">
        <v>54</v>
      </c>
      <c r="K660" s="67" t="s">
        <v>83</v>
      </c>
      <c r="L660" s="67" t="s">
        <v>67</v>
      </c>
      <c r="M660" s="73" t="s">
        <v>117</v>
      </c>
      <c r="N660" s="67" t="s">
        <v>20</v>
      </c>
      <c r="O660" s="59" t="s">
        <v>69</v>
      </c>
      <c r="P660" s="59"/>
      <c r="Q660" s="59" t="s">
        <v>1956</v>
      </c>
      <c r="R660" s="76" t="s">
        <v>531</v>
      </c>
      <c r="S660" s="59"/>
      <c r="T660" s="59"/>
      <c r="U660" s="77" t="s">
        <v>1957</v>
      </c>
      <c r="V660" s="77" t="s">
        <v>155</v>
      </c>
      <c r="W660" s="84">
        <v>46048.0</v>
      </c>
      <c r="X660" s="77" t="s">
        <v>1816</v>
      </c>
      <c r="Y660" s="84">
        <v>46079.0</v>
      </c>
      <c r="Z660" s="84">
        <f t="shared" si="13"/>
        <v>46124</v>
      </c>
      <c r="AA660" s="59"/>
      <c r="AB660" s="59" t="s">
        <v>78</v>
      </c>
      <c r="AC660" s="59"/>
      <c r="AD660" s="85">
        <v>46043.0</v>
      </c>
      <c r="AE660" s="86">
        <f t="shared" si="8"/>
        <v>1</v>
      </c>
    </row>
    <row r="661" ht="15.75" customHeight="1">
      <c r="A661" s="87" t="s">
        <v>1958</v>
      </c>
      <c r="B661" s="87" t="s">
        <v>400</v>
      </c>
      <c r="C661" s="88" t="s">
        <v>1959</v>
      </c>
      <c r="D661" s="88" t="s">
        <v>51</v>
      </c>
      <c r="E661" s="88">
        <v>5.0</v>
      </c>
      <c r="F661" s="89">
        <v>42875.0</v>
      </c>
      <c r="G661" s="90" t="s">
        <v>53</v>
      </c>
      <c r="H661" s="91">
        <v>46266.0</v>
      </c>
      <c r="I661" s="92" t="s">
        <v>17</v>
      </c>
      <c r="J661" s="92" t="s">
        <v>54</v>
      </c>
      <c r="K661" s="92" t="s">
        <v>66</v>
      </c>
      <c r="L661" s="92" t="s">
        <v>67</v>
      </c>
      <c r="M661" s="90" t="s">
        <v>68</v>
      </c>
      <c r="N661" s="92" t="s">
        <v>5</v>
      </c>
      <c r="O661" s="92" t="s">
        <v>89</v>
      </c>
      <c r="P661" s="87"/>
      <c r="Q661" s="87" t="s">
        <v>1960</v>
      </c>
      <c r="R661" s="93" t="s">
        <v>164</v>
      </c>
      <c r="S661" s="87"/>
      <c r="T661" s="87"/>
      <c r="U661" s="94" t="s">
        <v>1961</v>
      </c>
      <c r="V661" s="94" t="str">
        <f t="array" ref="V661">IFERROR(INDEX(DFD!$F$2:$F$1048791,MATCH($Q661,DFD!$B$2:$B$1048791,0)),"")</f>
        <v/>
      </c>
      <c r="W661" s="97" t="str">
        <f t="array" ref="W661">IFERROR(INDEX(DFD!$E$2:$E$1048791,MATCH($Q661,DFD!$B$2:$B$1048791,0)),"")</f>
        <v/>
      </c>
      <c r="X661" s="97" t="str">
        <f t="array" ref="X661">IFERROR(INDEX(DFD!$K$2:$K$1048791,MATCH($Q661,DFD!$B$2:$B$1048791,0)),"")</f>
        <v/>
      </c>
      <c r="Y661" s="97" t="str">
        <f t="array" ref="Y661">IFERROR(INDEX(DFD!$L$2:$L$1048790,MATCH($Q661,DFD!$B$2:$B$1048790,0)),"")</f>
        <v/>
      </c>
      <c r="Z661" s="97">
        <f t="shared" si="13"/>
        <v>45</v>
      </c>
      <c r="AA661" s="87"/>
      <c r="AB661" s="87" t="s">
        <v>78</v>
      </c>
      <c r="AC661" s="87"/>
      <c r="AD661" s="99">
        <v>46043.0</v>
      </c>
      <c r="AE661" s="100">
        <f t="shared" si="8"/>
        <v>1</v>
      </c>
    </row>
    <row r="662" ht="15.75" customHeight="1">
      <c r="A662" s="67" t="s">
        <v>1962</v>
      </c>
      <c r="B662" s="59" t="s">
        <v>400</v>
      </c>
      <c r="C662" s="60" t="s">
        <v>1963</v>
      </c>
      <c r="D662" s="60" t="s">
        <v>51</v>
      </c>
      <c r="E662" s="60">
        <v>1.0</v>
      </c>
      <c r="F662" s="72">
        <v>65000.0</v>
      </c>
      <c r="G662" s="73" t="s">
        <v>53</v>
      </c>
      <c r="H662" s="74">
        <v>46266.0</v>
      </c>
      <c r="I662" s="67" t="s">
        <v>17</v>
      </c>
      <c r="J662" s="67" t="s">
        <v>54</v>
      </c>
      <c r="K662" s="67" t="s">
        <v>161</v>
      </c>
      <c r="L662" s="67" t="s">
        <v>56</v>
      </c>
      <c r="M662" s="73" t="s">
        <v>57</v>
      </c>
      <c r="N662" s="67" t="s">
        <v>20</v>
      </c>
      <c r="O662" s="59" t="s">
        <v>1128</v>
      </c>
      <c r="P662" s="59"/>
      <c r="Q662" s="59" t="s">
        <v>1964</v>
      </c>
      <c r="R662" s="76" t="s">
        <v>164</v>
      </c>
      <c r="S662" s="59"/>
      <c r="T662" s="59"/>
      <c r="U662" s="77" t="str">
        <f t="array" ref="U662">IFERROR(INDEX(DFD!$D$2:$D$1048791,MATCH($Q662,DFD!$B$2:$B$1048791,0)),"")</f>
        <v/>
      </c>
      <c r="V662" s="77" t="str">
        <f t="array" ref="V662">IFERROR(INDEX(DFD!$F$2:$F$1048791,MATCH($Q662,DFD!$B$2:$B$1048791,0)),"")</f>
        <v/>
      </c>
      <c r="W662" s="84" t="str">
        <f t="array" ref="W662">IFERROR(INDEX(DFD!$E$2:$E$1048791,MATCH($Q662,DFD!$B$2:$B$1048791,0)),"")</f>
        <v/>
      </c>
      <c r="X662" s="84" t="str">
        <f t="array" ref="X662">IFERROR(INDEX(DFD!$K$2:$K$1048791,MATCH($Q662,DFD!$B$2:$B$1048791,0)),"")</f>
        <v/>
      </c>
      <c r="Y662" s="84" t="str">
        <f t="array" ref="Y662">IFERROR(INDEX(DFD!$L$2:$L$1048790,MATCH($Q662,DFD!$B$2:$B$1048790,0)),"")</f>
        <v/>
      </c>
      <c r="Z662" s="84">
        <f t="shared" si="13"/>
        <v>45</v>
      </c>
      <c r="AA662" s="59"/>
      <c r="AB662" s="59" t="s">
        <v>1131</v>
      </c>
      <c r="AC662" s="59"/>
      <c r="AD662" s="85">
        <v>46043.0</v>
      </c>
      <c r="AE662" s="86">
        <f t="shared" si="8"/>
        <v>1</v>
      </c>
    </row>
    <row r="663" ht="15.75" customHeight="1">
      <c r="A663" s="87" t="s">
        <v>1965</v>
      </c>
      <c r="B663" s="87" t="s">
        <v>101</v>
      </c>
      <c r="C663" s="88" t="s">
        <v>1966</v>
      </c>
      <c r="D663" s="88" t="s">
        <v>51</v>
      </c>
      <c r="E663" s="88">
        <v>10.0</v>
      </c>
      <c r="F663" s="89">
        <v>120.0</v>
      </c>
      <c r="G663" s="90" t="s">
        <v>53</v>
      </c>
      <c r="H663" s="91">
        <v>46143.0</v>
      </c>
      <c r="I663" s="92" t="s">
        <v>17</v>
      </c>
      <c r="J663" s="92" t="s">
        <v>54</v>
      </c>
      <c r="K663" s="92" t="s">
        <v>66</v>
      </c>
      <c r="L663" s="92" t="s">
        <v>56</v>
      </c>
      <c r="M663" s="90" t="s">
        <v>112</v>
      </c>
      <c r="N663" s="92" t="s">
        <v>58</v>
      </c>
      <c r="O663" s="87" t="s">
        <v>69</v>
      </c>
      <c r="P663" s="87"/>
      <c r="Q663" s="87" t="s">
        <v>118</v>
      </c>
      <c r="R663" s="93" t="s">
        <v>181</v>
      </c>
      <c r="S663" s="87"/>
      <c r="T663" s="87"/>
      <c r="U663" s="94" t="str">
        <f t="array" ref="U663">IFERROR(INDEX(DFD!$D$2:$D$1048791,MATCH($Q663,DFD!$B$2:$B$1048791,0)),"")</f>
        <v/>
      </c>
      <c r="V663" s="94" t="str">
        <f t="array" ref="V663">IFERROR(INDEX(DFD!$F$2:$F$1048791,MATCH($Q663,DFD!$B$2:$B$1048791,0)),"")</f>
        <v/>
      </c>
      <c r="W663" s="97" t="str">
        <f t="array" ref="W663">IFERROR(INDEX(DFD!$E$2:$E$1048791,MATCH($Q663,DFD!$B$2:$B$1048791,0)),"")</f>
        <v/>
      </c>
      <c r="X663" s="97" t="str">
        <f t="array" ref="X663">IFERROR(INDEX(DFD!$K$2:$K$1048791,MATCH($Q663,DFD!$B$2:$B$1048791,0)),"")</f>
        <v/>
      </c>
      <c r="Y663" s="97" t="str">
        <f t="array" ref="Y663">IFERROR(INDEX(DFD!$L$2:$L$1048790,MATCH($Q663,DFD!$B$2:$B$1048790,0)),"")</f>
        <v/>
      </c>
      <c r="Z663" s="97">
        <f t="shared" si="13"/>
        <v>45</v>
      </c>
      <c r="AA663" s="87"/>
      <c r="AB663" s="87" t="s">
        <v>78</v>
      </c>
      <c r="AC663" s="87"/>
      <c r="AD663" s="99">
        <v>46043.0</v>
      </c>
      <c r="AE663" s="100">
        <f t="shared" si="8"/>
        <v>1</v>
      </c>
    </row>
    <row r="664" ht="15.75" customHeight="1">
      <c r="A664" s="67" t="s">
        <v>1967</v>
      </c>
      <c r="B664" s="59" t="s">
        <v>184</v>
      </c>
      <c r="C664" s="60" t="s">
        <v>1968</v>
      </c>
      <c r="D664" s="60" t="s">
        <v>51</v>
      </c>
      <c r="E664" s="60">
        <v>12.0</v>
      </c>
      <c r="F664" s="72">
        <v>140.0</v>
      </c>
      <c r="G664" s="73" t="s">
        <v>53</v>
      </c>
      <c r="H664" s="74">
        <v>46266.0</v>
      </c>
      <c r="I664" s="67" t="s">
        <v>17</v>
      </c>
      <c r="J664" s="67" t="s">
        <v>54</v>
      </c>
      <c r="K664" s="67" t="s">
        <v>372</v>
      </c>
      <c r="L664" s="67" t="s">
        <v>67</v>
      </c>
      <c r="M664" s="73" t="s">
        <v>104</v>
      </c>
      <c r="N664" s="67" t="s">
        <v>20</v>
      </c>
      <c r="O664" s="59" t="s">
        <v>69</v>
      </c>
      <c r="P664" s="59"/>
      <c r="Q664" s="59" t="s">
        <v>113</v>
      </c>
      <c r="R664" s="76" t="s">
        <v>616</v>
      </c>
      <c r="S664" s="120"/>
      <c r="T664" s="59"/>
      <c r="U664" s="77" t="str">
        <f t="array" ref="U664">IFERROR(INDEX(DFD!$D$2:$D$1048791,MATCH($Q664,DFD!$B$2:$B$1048791,0)),"")</f>
        <v/>
      </c>
      <c r="V664" s="77" t="str">
        <f t="array" ref="V664">IFERROR(INDEX(DFD!$F$2:$F$1048791,MATCH($Q664,DFD!$B$2:$B$1048791,0)),"")</f>
        <v/>
      </c>
      <c r="W664" s="84" t="str">
        <f t="array" ref="W664">IFERROR(INDEX(DFD!$E$2:$E$1048791,MATCH($Q664,DFD!$B$2:$B$1048791,0)),"")</f>
        <v/>
      </c>
      <c r="X664" s="84" t="str">
        <f t="array" ref="X664">IFERROR(INDEX(DFD!$K$2:$K$1048791,MATCH($Q664,DFD!$B$2:$B$1048791,0)),"")</f>
        <v/>
      </c>
      <c r="Y664" s="84" t="str">
        <f t="array" ref="Y664">IFERROR(INDEX(DFD!$L$2:$L$1048790,MATCH($Q664,DFD!$B$2:$B$1048790,0)),"")</f>
        <v/>
      </c>
      <c r="Z664" s="84">
        <f t="shared" si="13"/>
        <v>45</v>
      </c>
      <c r="AA664" s="59" t="s">
        <v>746</v>
      </c>
      <c r="AB664" s="59" t="s">
        <v>78</v>
      </c>
      <c r="AC664" s="59"/>
      <c r="AD664" s="85">
        <v>46043.0</v>
      </c>
      <c r="AE664" s="86">
        <f t="shared" si="8"/>
        <v>1</v>
      </c>
    </row>
    <row r="665" ht="15.75" customHeight="1">
      <c r="A665" s="92" t="s">
        <v>1969</v>
      </c>
      <c r="B665" s="87" t="s">
        <v>184</v>
      </c>
      <c r="C665" s="88" t="s">
        <v>1970</v>
      </c>
      <c r="D665" s="88" t="s">
        <v>51</v>
      </c>
      <c r="E665" s="88">
        <v>60.0</v>
      </c>
      <c r="F665" s="89">
        <v>690.0</v>
      </c>
      <c r="G665" s="90" t="s">
        <v>53</v>
      </c>
      <c r="H665" s="91">
        <v>46174.0</v>
      </c>
      <c r="I665" s="92" t="s">
        <v>17</v>
      </c>
      <c r="J665" s="92" t="s">
        <v>54</v>
      </c>
      <c r="K665" s="92" t="s">
        <v>66</v>
      </c>
      <c r="L665" s="92" t="s">
        <v>67</v>
      </c>
      <c r="M665" s="90" t="s">
        <v>68</v>
      </c>
      <c r="N665" s="92" t="s">
        <v>20</v>
      </c>
      <c r="O665" s="92" t="s">
        <v>89</v>
      </c>
      <c r="P665" s="87"/>
      <c r="Q665" s="87" t="s">
        <v>191</v>
      </c>
      <c r="R665" s="93" t="s">
        <v>187</v>
      </c>
      <c r="S665" s="87"/>
      <c r="T665" s="87"/>
      <c r="U665" s="94" t="str">
        <f t="array" ref="U665">IFERROR(INDEX(DFD!$D$2:$D$1048791,MATCH($Q665,DFD!$B$2:$B$1048791,0)),"")</f>
        <v/>
      </c>
      <c r="V665" s="94" t="str">
        <f t="array" ref="V665">IFERROR(INDEX(DFD!$F$2:$F$1048791,MATCH($Q665,DFD!$B$2:$B$1048791,0)),"")</f>
        <v/>
      </c>
      <c r="W665" s="97" t="str">
        <f t="array" ref="W665">IFERROR(INDEX(DFD!$E$2:$E$1048791,MATCH($Q665,DFD!$B$2:$B$1048791,0)),"")</f>
        <v/>
      </c>
      <c r="X665" s="97" t="str">
        <f t="array" ref="X665">IFERROR(INDEX(DFD!$K$2:$K$1048791,MATCH($Q665,DFD!$B$2:$B$1048791,0)),"")</f>
        <v/>
      </c>
      <c r="Y665" s="97" t="str">
        <f t="array" ref="Y665">IFERROR(INDEX(DFD!$L$2:$L$1048790,MATCH($Q665,DFD!$B$2:$B$1048790,0)),"")</f>
        <v/>
      </c>
      <c r="Z665" s="97">
        <f t="shared" si="13"/>
        <v>45</v>
      </c>
      <c r="AA665" s="87"/>
      <c r="AB665" s="87" t="s">
        <v>78</v>
      </c>
      <c r="AC665" s="87"/>
      <c r="AD665" s="99">
        <v>46043.0</v>
      </c>
      <c r="AE665" s="100">
        <f t="shared" si="8"/>
        <v>1</v>
      </c>
    </row>
    <row r="666" ht="15.75" customHeight="1">
      <c r="A666" s="59" t="s">
        <v>1971</v>
      </c>
      <c r="B666" s="59" t="s">
        <v>101</v>
      </c>
      <c r="C666" s="60" t="s">
        <v>1972</v>
      </c>
      <c r="D666" s="60" t="s">
        <v>51</v>
      </c>
      <c r="E666" s="60">
        <v>4.0</v>
      </c>
      <c r="F666" s="72">
        <v>345.6</v>
      </c>
      <c r="G666" s="73" t="s">
        <v>53</v>
      </c>
      <c r="H666" s="74">
        <v>46174.0</v>
      </c>
      <c r="I666" s="67" t="s">
        <v>17</v>
      </c>
      <c r="J666" s="67" t="s">
        <v>54</v>
      </c>
      <c r="K666" s="67" t="s">
        <v>66</v>
      </c>
      <c r="L666" s="67" t="s">
        <v>56</v>
      </c>
      <c r="M666" s="73" t="s">
        <v>167</v>
      </c>
      <c r="N666" s="67" t="s">
        <v>58</v>
      </c>
      <c r="O666" s="59" t="s">
        <v>69</v>
      </c>
      <c r="P666" s="59"/>
      <c r="Q666" s="59" t="s">
        <v>756</v>
      </c>
      <c r="R666" s="76" t="s">
        <v>187</v>
      </c>
      <c r="S666" s="59"/>
      <c r="T666" s="59"/>
      <c r="U666" s="77" t="str">
        <f t="array" ref="U666">IFERROR(INDEX(DFD!$D$2:$D$1048791,MATCH($Q666,DFD!$B$2:$B$1048791,0)),"")</f>
        <v/>
      </c>
      <c r="V666" s="77" t="str">
        <f t="array" ref="V666">IFERROR(INDEX(DFD!$F$2:$F$1048791,MATCH($Q666,DFD!$B$2:$B$1048791,0)),"")</f>
        <v/>
      </c>
      <c r="W666" s="84" t="str">
        <f t="array" ref="W666">IFERROR(INDEX(DFD!$E$2:$E$1048791,MATCH($Q666,DFD!$B$2:$B$1048791,0)),"")</f>
        <v/>
      </c>
      <c r="X666" s="84" t="str">
        <f t="array" ref="X666">IFERROR(INDEX(DFD!$K$2:$K$1048791,MATCH($Q666,DFD!$B$2:$B$1048791,0)),"")</f>
        <v/>
      </c>
      <c r="Y666" s="84" t="str">
        <f t="array" ref="Y666">IFERROR(INDEX(DFD!$L$2:$L$1048790,MATCH($Q666,DFD!$B$2:$B$1048790,0)),"")</f>
        <v/>
      </c>
      <c r="Z666" s="84">
        <f t="shared" si="13"/>
        <v>45</v>
      </c>
      <c r="AA666" s="59"/>
      <c r="AB666" s="59" t="s">
        <v>78</v>
      </c>
      <c r="AC666" s="59"/>
      <c r="AD666" s="85">
        <v>46043.0</v>
      </c>
      <c r="AE666" s="86">
        <f t="shared" si="8"/>
        <v>1</v>
      </c>
    </row>
    <row r="667" ht="15.75" customHeight="1">
      <c r="A667" s="92" t="s">
        <v>1973</v>
      </c>
      <c r="B667" s="87" t="s">
        <v>184</v>
      </c>
      <c r="C667" s="88" t="s">
        <v>1974</v>
      </c>
      <c r="D667" s="88" t="s">
        <v>51</v>
      </c>
      <c r="E667" s="88">
        <v>1500.0</v>
      </c>
      <c r="F667" s="89">
        <v>8355.0</v>
      </c>
      <c r="G667" s="90" t="s">
        <v>53</v>
      </c>
      <c r="H667" s="91">
        <v>46204.0</v>
      </c>
      <c r="I667" s="92" t="s">
        <v>17</v>
      </c>
      <c r="J667" s="92" t="s">
        <v>54</v>
      </c>
      <c r="K667" s="92" t="s">
        <v>66</v>
      </c>
      <c r="L667" s="92" t="s">
        <v>67</v>
      </c>
      <c r="M667" s="90" t="s">
        <v>57</v>
      </c>
      <c r="N667" s="92" t="s">
        <v>20</v>
      </c>
      <c r="O667" s="87" t="s">
        <v>69</v>
      </c>
      <c r="P667" s="87"/>
      <c r="Q667" s="87" t="s">
        <v>191</v>
      </c>
      <c r="R667" s="93" t="s">
        <v>187</v>
      </c>
      <c r="S667" s="87"/>
      <c r="T667" s="87"/>
      <c r="U667" s="94" t="str">
        <f t="array" ref="U667">IFERROR(INDEX(DFD!$D$2:$D$1048791,MATCH($Q667,DFD!$B$2:$B$1048791,0)),"")</f>
        <v/>
      </c>
      <c r="V667" s="94" t="str">
        <f t="array" ref="V667">IFERROR(INDEX(DFD!$F$2:$F$1048791,MATCH($Q667,DFD!$B$2:$B$1048791,0)),"")</f>
        <v/>
      </c>
      <c r="W667" s="97" t="str">
        <f t="array" ref="W667">IFERROR(INDEX(DFD!$E$2:$E$1048791,MATCH($Q667,DFD!$B$2:$B$1048791,0)),"")</f>
        <v/>
      </c>
      <c r="X667" s="97" t="str">
        <f t="array" ref="X667">IFERROR(INDEX(DFD!$K$2:$K$1048791,MATCH($Q667,DFD!$B$2:$B$1048791,0)),"")</f>
        <v/>
      </c>
      <c r="Y667" s="97" t="str">
        <f t="array" ref="Y667">IFERROR(INDEX(DFD!$L$2:$L$1048790,MATCH($Q667,DFD!$B$2:$B$1048790,0)),"")</f>
        <v/>
      </c>
      <c r="Z667" s="97">
        <f t="shared" si="13"/>
        <v>45</v>
      </c>
      <c r="AA667" s="87"/>
      <c r="AB667" s="87" t="s">
        <v>78</v>
      </c>
      <c r="AC667" s="87"/>
      <c r="AD667" s="99">
        <v>46043.0</v>
      </c>
      <c r="AE667" s="100">
        <f t="shared" si="8"/>
        <v>1</v>
      </c>
    </row>
    <row r="668" ht="15.75" customHeight="1">
      <c r="A668" s="59" t="s">
        <v>1975</v>
      </c>
      <c r="B668" s="59" t="s">
        <v>400</v>
      </c>
      <c r="C668" s="180" t="s">
        <v>1976</v>
      </c>
      <c r="D668" s="60" t="s">
        <v>51</v>
      </c>
      <c r="E668" s="60">
        <v>1.0</v>
      </c>
      <c r="F668" s="72">
        <v>300000.0</v>
      </c>
      <c r="G668" s="73" t="s">
        <v>437</v>
      </c>
      <c r="H668" s="74">
        <v>46266.0</v>
      </c>
      <c r="I668" s="67" t="s">
        <v>17</v>
      </c>
      <c r="J668" s="67" t="s">
        <v>54</v>
      </c>
      <c r="K668" s="67" t="s">
        <v>161</v>
      </c>
      <c r="L668" s="67" t="s">
        <v>67</v>
      </c>
      <c r="M668" s="73" t="s">
        <v>104</v>
      </c>
      <c r="N668" s="67" t="s">
        <v>5</v>
      </c>
      <c r="O668" s="67" t="s">
        <v>89</v>
      </c>
      <c r="P668" s="59"/>
      <c r="Q668" s="59" t="s">
        <v>1977</v>
      </c>
      <c r="R668" s="76" t="s">
        <v>1978</v>
      </c>
      <c r="S668" s="59"/>
      <c r="T668" s="59"/>
      <c r="U668" s="77" t="str">
        <f t="array" ref="U668">IFERROR(INDEX(DFD!$D$2:$D$1048791,MATCH($Q668,DFD!$B$2:$B$1048791,0)),"")</f>
        <v/>
      </c>
      <c r="V668" s="77" t="str">
        <f t="array" ref="V668">IFERROR(INDEX(DFD!$F$2:$F$1048791,MATCH($Q668,DFD!$B$2:$B$1048791,0)),"")</f>
        <v/>
      </c>
      <c r="W668" s="84" t="str">
        <f t="array" ref="W668">IFERROR(INDEX(DFD!$E$2:$E$1048791,MATCH($Q668,DFD!$B$2:$B$1048791,0)),"")</f>
        <v/>
      </c>
      <c r="X668" s="84" t="str">
        <f t="array" ref="X668">IFERROR(INDEX(DFD!$K$2:$K$1048791,MATCH($Q668,DFD!$B$2:$B$1048791,0)),"")</f>
        <v/>
      </c>
      <c r="Y668" s="84" t="str">
        <f t="array" ref="Y668">IFERROR(INDEX(DFD!$L$2:$L$1048790,MATCH($Q668,DFD!$B$2:$B$1048790,0)),"")</f>
        <v/>
      </c>
      <c r="Z668" s="84">
        <f t="shared" si="13"/>
        <v>45</v>
      </c>
      <c r="AA668" s="59"/>
      <c r="AB668" s="59" t="s">
        <v>288</v>
      </c>
      <c r="AC668" s="59"/>
      <c r="AD668" s="85">
        <v>46043.0</v>
      </c>
      <c r="AE668" s="86">
        <f t="shared" si="8"/>
        <v>1</v>
      </c>
    </row>
    <row r="669" ht="15.75" customHeight="1">
      <c r="A669" s="87" t="s">
        <v>1979</v>
      </c>
      <c r="B669" s="87" t="s">
        <v>52</v>
      </c>
      <c r="C669" s="88" t="s">
        <v>1980</v>
      </c>
      <c r="D669" s="88" t="s">
        <v>51</v>
      </c>
      <c r="E669" s="88">
        <v>1.0</v>
      </c>
      <c r="F669" s="89">
        <v>14900.0</v>
      </c>
      <c r="G669" s="90" t="s">
        <v>53</v>
      </c>
      <c r="H669" s="91">
        <v>46235.0</v>
      </c>
      <c r="I669" s="92" t="s">
        <v>17</v>
      </c>
      <c r="J669" s="92" t="s">
        <v>54</v>
      </c>
      <c r="K669" s="92" t="s">
        <v>161</v>
      </c>
      <c r="L669" s="92" t="s">
        <v>67</v>
      </c>
      <c r="M669" s="90" t="s">
        <v>57</v>
      </c>
      <c r="N669" s="92" t="s">
        <v>52</v>
      </c>
      <c r="O669" s="87" t="s">
        <v>69</v>
      </c>
      <c r="P669" s="87"/>
      <c r="Q669" s="87" t="s">
        <v>52</v>
      </c>
      <c r="R669" s="148" t="s">
        <v>1981</v>
      </c>
      <c r="S669" s="87"/>
      <c r="T669" s="87"/>
      <c r="U669" s="94" t="str">
        <f t="array" ref="U669">IFERROR(INDEX(DFD!$D$2:$D$1048791,MATCH($Q669,DFD!$B$2:$B$1048791,0)),"")</f>
        <v/>
      </c>
      <c r="V669" s="94" t="str">
        <f t="array" ref="V669">IFERROR(INDEX(DFD!$F$2:$F$1048791,MATCH($Q669,DFD!$B$2:$B$1048791,0)),"")</f>
        <v/>
      </c>
      <c r="W669" s="97" t="str">
        <f t="array" ref="W669">IFERROR(INDEX(DFD!$E$2:$E$1048791,MATCH($Q669,DFD!$B$2:$B$1048791,0)),"")</f>
        <v/>
      </c>
      <c r="X669" s="97" t="str">
        <f t="array" ref="X669">IFERROR(INDEX(DFD!$K$2:$K$1048791,MATCH($Q669,DFD!$B$2:$B$1048791,0)),"")</f>
        <v/>
      </c>
      <c r="Y669" s="97" t="str">
        <f t="array" ref="Y669">IFERROR(INDEX(DFD!$L$2:$L$1048790,MATCH($Q669,DFD!$B$2:$B$1048790,0)),"")</f>
        <v/>
      </c>
      <c r="Z669" s="97">
        <f t="shared" si="13"/>
        <v>45</v>
      </c>
      <c r="AA669" s="87"/>
      <c r="AB669" s="87" t="s">
        <v>72</v>
      </c>
      <c r="AC669" s="87"/>
      <c r="AD669" s="99">
        <v>46043.0</v>
      </c>
      <c r="AE669" s="100">
        <f t="shared" si="8"/>
        <v>1</v>
      </c>
    </row>
    <row r="670" ht="15.75" customHeight="1">
      <c r="A670" s="59" t="s">
        <v>1982</v>
      </c>
      <c r="B670" s="59" t="s">
        <v>52</v>
      </c>
      <c r="C670" s="60" t="s">
        <v>1983</v>
      </c>
      <c r="D670" s="60" t="s">
        <v>51</v>
      </c>
      <c r="E670" s="60">
        <v>1.0</v>
      </c>
      <c r="F670" s="72">
        <v>60000.0</v>
      </c>
      <c r="G670" s="73" t="s">
        <v>53</v>
      </c>
      <c r="H670" s="74">
        <v>46080.0</v>
      </c>
      <c r="I670" s="67" t="s">
        <v>17</v>
      </c>
      <c r="J670" s="67" t="s">
        <v>54</v>
      </c>
      <c r="K670" s="67" t="s">
        <v>161</v>
      </c>
      <c r="L670" s="67" t="s">
        <v>67</v>
      </c>
      <c r="M670" s="73" t="s">
        <v>132</v>
      </c>
      <c r="N670" s="67" t="s">
        <v>58</v>
      </c>
      <c r="O670" s="59" t="s">
        <v>69</v>
      </c>
      <c r="P670" s="59"/>
      <c r="Q670" s="59" t="s">
        <v>52</v>
      </c>
      <c r="R670" s="181" t="s">
        <v>1981</v>
      </c>
      <c r="S670" s="59"/>
      <c r="T670" s="59"/>
      <c r="U670" s="77"/>
      <c r="V670" s="77"/>
      <c r="W670" s="84"/>
      <c r="X670" s="84"/>
      <c r="Y670" s="84"/>
      <c r="Z670" s="84">
        <f t="shared" si="13"/>
        <v>45</v>
      </c>
      <c r="AA670" s="59"/>
      <c r="AB670" s="59" t="s">
        <v>72</v>
      </c>
      <c r="AC670" s="59"/>
      <c r="AD670" s="85"/>
      <c r="AE670" s="86">
        <f t="shared" si="8"/>
        <v>1</v>
      </c>
    </row>
    <row r="671" ht="15.75" customHeight="1">
      <c r="A671" s="87" t="s">
        <v>1984</v>
      </c>
      <c r="B671" s="87" t="s">
        <v>109</v>
      </c>
      <c r="C671" s="88" t="s">
        <v>1985</v>
      </c>
      <c r="D671" s="88" t="s">
        <v>51</v>
      </c>
      <c r="E671" s="88">
        <v>2.0</v>
      </c>
      <c r="F671" s="89">
        <v>500.0</v>
      </c>
      <c r="G671" s="90" t="s">
        <v>53</v>
      </c>
      <c r="H671" s="91">
        <v>46174.0</v>
      </c>
      <c r="I671" s="92" t="s">
        <v>17</v>
      </c>
      <c r="J671" s="92" t="s">
        <v>54</v>
      </c>
      <c r="K671" s="92" t="s">
        <v>66</v>
      </c>
      <c r="L671" s="92" t="s">
        <v>67</v>
      </c>
      <c r="M671" s="90" t="s">
        <v>68</v>
      </c>
      <c r="N671" s="92" t="s">
        <v>5</v>
      </c>
      <c r="O671" s="92" t="s">
        <v>89</v>
      </c>
      <c r="P671" s="87"/>
      <c r="Q671" s="87" t="s">
        <v>214</v>
      </c>
      <c r="R671" s="93" t="s">
        <v>217</v>
      </c>
      <c r="S671" s="87"/>
      <c r="T671" s="87"/>
      <c r="U671" s="94" t="str">
        <f t="array" ref="U671">IFERROR(INDEX(DFD!$D$2:$D$1048791,MATCH($Q671,DFD!$B$2:$B$1048791,0)),"")</f>
        <v/>
      </c>
      <c r="V671" s="94" t="str">
        <f t="array" ref="V671">IFERROR(INDEX(DFD!$F$2:$F$1048791,MATCH($Q671,DFD!$B$2:$B$1048791,0)),"")</f>
        <v/>
      </c>
      <c r="W671" s="97" t="str">
        <f t="array" ref="W671">IFERROR(INDEX(DFD!$E$2:$E$1048791,MATCH($Q671,DFD!$B$2:$B$1048791,0)),"")</f>
        <v/>
      </c>
      <c r="X671" s="97" t="str">
        <f t="array" ref="X671">IFERROR(INDEX(DFD!$K$2:$K$1048791,MATCH($Q671,DFD!$B$2:$B$1048791,0)),"")</f>
        <v/>
      </c>
      <c r="Y671" s="97" t="str">
        <f t="array" ref="Y671">IFERROR(INDEX(DFD!$L$2:$L$1048790,MATCH($Q671,DFD!$B$2:$B$1048790,0)),"")</f>
        <v/>
      </c>
      <c r="Z671" s="97">
        <f t="shared" si="13"/>
        <v>45</v>
      </c>
      <c r="AA671" s="87"/>
      <c r="AB671" s="87" t="s">
        <v>78</v>
      </c>
      <c r="AC671" s="87"/>
      <c r="AD671" s="99">
        <v>46043.0</v>
      </c>
      <c r="AE671" s="100">
        <f t="shared" si="8"/>
        <v>1</v>
      </c>
    </row>
    <row r="672" ht="15.75" customHeight="1">
      <c r="A672" s="67" t="s">
        <v>1986</v>
      </c>
      <c r="B672" s="59" t="s">
        <v>184</v>
      </c>
      <c r="C672" s="60" t="s">
        <v>1987</v>
      </c>
      <c r="D672" s="60" t="s">
        <v>51</v>
      </c>
      <c r="E672" s="60">
        <v>50.0</v>
      </c>
      <c r="F672" s="72">
        <v>50000.0</v>
      </c>
      <c r="G672" s="73" t="s">
        <v>437</v>
      </c>
      <c r="H672" s="74">
        <v>46266.0</v>
      </c>
      <c r="I672" s="67" t="s">
        <v>17</v>
      </c>
      <c r="J672" s="67" t="s">
        <v>54</v>
      </c>
      <c r="K672" s="67" t="s">
        <v>66</v>
      </c>
      <c r="L672" s="67" t="s">
        <v>67</v>
      </c>
      <c r="M672" s="73" t="s">
        <v>104</v>
      </c>
      <c r="N672" s="67" t="s">
        <v>20</v>
      </c>
      <c r="O672" s="59" t="s">
        <v>69</v>
      </c>
      <c r="P672" s="59"/>
      <c r="Q672" s="59" t="s">
        <v>1988</v>
      </c>
      <c r="R672" s="76" t="s">
        <v>71</v>
      </c>
      <c r="S672" s="59"/>
      <c r="T672" s="59"/>
      <c r="U672" s="77" t="str">
        <f t="array" ref="U672">IFERROR(INDEX(DFD!$D$2:$D$1048791,MATCH($Q672,DFD!$B$2:$B$1048791,0)),"")</f>
        <v/>
      </c>
      <c r="V672" s="77" t="str">
        <f t="array" ref="V672">IFERROR(INDEX(DFD!$F$2:$F$1048791,MATCH($Q672,DFD!$B$2:$B$1048791,0)),"")</f>
        <v/>
      </c>
      <c r="W672" s="84" t="str">
        <f t="array" ref="W672">IFERROR(INDEX(DFD!$E$2:$E$1048791,MATCH($Q672,DFD!$B$2:$B$1048791,0)),"")</f>
        <v/>
      </c>
      <c r="X672" s="84" t="str">
        <f t="array" ref="X672">IFERROR(INDEX(DFD!$K$2:$K$1048791,MATCH($Q672,DFD!$B$2:$B$1048791,0)),"")</f>
        <v/>
      </c>
      <c r="Y672" s="84" t="str">
        <f t="array" ref="Y672">IFERROR(INDEX(DFD!$L$2:$L$1048790,MATCH($Q672,DFD!$B$2:$B$1048790,0)),"")</f>
        <v/>
      </c>
      <c r="Z672" s="84">
        <f t="shared" si="13"/>
        <v>45</v>
      </c>
      <c r="AA672" s="59"/>
      <c r="AB672" s="59" t="s">
        <v>78</v>
      </c>
      <c r="AC672" s="59"/>
      <c r="AD672" s="85">
        <v>46043.0</v>
      </c>
      <c r="AE672" s="86">
        <f t="shared" si="8"/>
        <v>1</v>
      </c>
    </row>
    <row r="673" ht="15.75" customHeight="1">
      <c r="A673" s="87" t="s">
        <v>1989</v>
      </c>
      <c r="B673" s="87" t="s">
        <v>92</v>
      </c>
      <c r="C673" s="88" t="s">
        <v>1990</v>
      </c>
      <c r="D673" s="88" t="s">
        <v>51</v>
      </c>
      <c r="E673" s="88">
        <v>3.0</v>
      </c>
      <c r="F673" s="89">
        <v>210.0</v>
      </c>
      <c r="G673" s="90" t="s">
        <v>53</v>
      </c>
      <c r="H673" s="91">
        <v>46143.0</v>
      </c>
      <c r="I673" s="92" t="s">
        <v>17</v>
      </c>
      <c r="J673" s="92" t="s">
        <v>54</v>
      </c>
      <c r="K673" s="92" t="s">
        <v>66</v>
      </c>
      <c r="L673" s="92" t="s">
        <v>67</v>
      </c>
      <c r="M673" s="90" t="s">
        <v>167</v>
      </c>
      <c r="N673" s="92" t="s">
        <v>5</v>
      </c>
      <c r="O673" s="87" t="s">
        <v>69</v>
      </c>
      <c r="P673" s="87"/>
      <c r="Q673" s="87" t="s">
        <v>275</v>
      </c>
      <c r="R673" s="93" t="s">
        <v>1122</v>
      </c>
      <c r="S673" s="87"/>
      <c r="T673" s="87"/>
      <c r="U673" s="94" t="str">
        <f t="array" ref="U673">IFERROR(INDEX(DFD!$D$2:$D$1048791,MATCH($Q673,DFD!$B$2:$B$1048791,0)),"")</f>
        <v/>
      </c>
      <c r="V673" s="94" t="str">
        <f t="array" ref="V673">IFERROR(INDEX(DFD!$F$2:$F$1048791,MATCH($Q673,DFD!$B$2:$B$1048791,0)),"")</f>
        <v/>
      </c>
      <c r="W673" s="97" t="str">
        <f t="array" ref="W673">IFERROR(INDEX(DFD!$E$2:$E$1048791,MATCH($Q673,DFD!$B$2:$B$1048791,0)),"")</f>
        <v/>
      </c>
      <c r="X673" s="97" t="str">
        <f t="array" ref="X673">IFERROR(INDEX(DFD!$K$2:$K$1048791,MATCH($Q673,DFD!$B$2:$B$1048791,0)),"")</f>
        <v/>
      </c>
      <c r="Y673" s="97" t="str">
        <f t="array" ref="Y673">IFERROR(INDEX(DFD!$L$2:$L$1048790,MATCH($Q673,DFD!$B$2:$B$1048790,0)),"")</f>
        <v/>
      </c>
      <c r="Z673" s="97">
        <f t="shared" si="13"/>
        <v>45</v>
      </c>
      <c r="AA673" s="87"/>
      <c r="AB673" s="87" t="s">
        <v>78</v>
      </c>
      <c r="AC673" s="87"/>
      <c r="AD673" s="99">
        <v>46043.0</v>
      </c>
      <c r="AE673" s="100">
        <f t="shared" si="8"/>
        <v>1</v>
      </c>
    </row>
    <row r="674" ht="15.75" customHeight="1">
      <c r="A674" s="59" t="s">
        <v>1991</v>
      </c>
      <c r="B674" s="59" t="s">
        <v>94</v>
      </c>
      <c r="C674" s="60" t="s">
        <v>1990</v>
      </c>
      <c r="D674" s="60" t="s">
        <v>51</v>
      </c>
      <c r="E674" s="60">
        <v>3.0</v>
      </c>
      <c r="F674" s="72">
        <v>210.0</v>
      </c>
      <c r="G674" s="73" t="s">
        <v>53</v>
      </c>
      <c r="H674" s="74">
        <v>46143.0</v>
      </c>
      <c r="I674" s="67" t="s">
        <v>17</v>
      </c>
      <c r="J674" s="67" t="s">
        <v>54</v>
      </c>
      <c r="K674" s="67" t="s">
        <v>66</v>
      </c>
      <c r="L674" s="67" t="s">
        <v>67</v>
      </c>
      <c r="M674" s="73" t="s">
        <v>117</v>
      </c>
      <c r="N674" s="67" t="s">
        <v>5</v>
      </c>
      <c r="O674" s="67" t="s">
        <v>89</v>
      </c>
      <c r="P674" s="59"/>
      <c r="Q674" s="59" t="s">
        <v>275</v>
      </c>
      <c r="R674" s="76" t="s">
        <v>1122</v>
      </c>
      <c r="S674" s="59"/>
      <c r="T674" s="59"/>
      <c r="U674" s="77" t="str">
        <f t="array" ref="U674">IFERROR(INDEX(DFD!$D$2:$D$1048791,MATCH($Q674,DFD!$B$2:$B$1048791,0)),"")</f>
        <v/>
      </c>
      <c r="V674" s="77" t="str">
        <f t="array" ref="V674">IFERROR(INDEX(DFD!$F$2:$F$1048791,MATCH($Q674,DFD!$B$2:$B$1048791,0)),"")</f>
        <v/>
      </c>
      <c r="W674" s="84" t="str">
        <f t="array" ref="W674">IFERROR(INDEX(DFD!$E$2:$E$1048791,MATCH($Q674,DFD!$B$2:$B$1048791,0)),"")</f>
        <v/>
      </c>
      <c r="X674" s="84" t="str">
        <f t="array" ref="X674">IFERROR(INDEX(DFD!$K$2:$K$1048791,MATCH($Q674,DFD!$B$2:$B$1048791,0)),"")</f>
        <v/>
      </c>
      <c r="Y674" s="84" t="str">
        <f t="array" ref="Y674">IFERROR(INDEX(DFD!$L$2:$L$1048790,MATCH($Q674,DFD!$B$2:$B$1048790,0)),"")</f>
        <v/>
      </c>
      <c r="Z674" s="84">
        <f t="shared" si="13"/>
        <v>45</v>
      </c>
      <c r="AA674" s="59"/>
      <c r="AB674" s="59" t="s">
        <v>78</v>
      </c>
      <c r="AC674" s="59"/>
      <c r="AD674" s="85">
        <v>46043.0</v>
      </c>
      <c r="AE674" s="86">
        <f t="shared" si="8"/>
        <v>1</v>
      </c>
    </row>
    <row r="675" ht="15.75" customHeight="1">
      <c r="A675" s="92" t="s">
        <v>1992</v>
      </c>
      <c r="B675" s="87" t="s">
        <v>184</v>
      </c>
      <c r="C675" s="88" t="s">
        <v>1993</v>
      </c>
      <c r="D675" s="88" t="s">
        <v>51</v>
      </c>
      <c r="E675" s="88">
        <v>10.0</v>
      </c>
      <c r="F675" s="89">
        <v>179.0</v>
      </c>
      <c r="G675" s="90" t="s">
        <v>53</v>
      </c>
      <c r="H675" s="91">
        <v>46143.0</v>
      </c>
      <c r="I675" s="92" t="s">
        <v>17</v>
      </c>
      <c r="J675" s="92" t="s">
        <v>54</v>
      </c>
      <c r="K675" s="92" t="s">
        <v>66</v>
      </c>
      <c r="L675" s="92" t="s">
        <v>67</v>
      </c>
      <c r="M675" s="90" t="s">
        <v>68</v>
      </c>
      <c r="N675" s="92" t="s">
        <v>20</v>
      </c>
      <c r="O675" s="87" t="s">
        <v>69</v>
      </c>
      <c r="P675" s="87"/>
      <c r="Q675" s="87" t="s">
        <v>800</v>
      </c>
      <c r="R675" s="93" t="s">
        <v>287</v>
      </c>
      <c r="S675" s="87"/>
      <c r="T675" s="87"/>
      <c r="U675" s="94" t="str">
        <f t="array" ref="U675">IFERROR(INDEX(DFD!$D$2:$D$1048791,MATCH($Q675,DFD!$B$2:$B$1048791,0)),"")</f>
        <v/>
      </c>
      <c r="V675" s="94" t="str">
        <f t="array" ref="V675">IFERROR(INDEX(DFD!$F$2:$F$1048791,MATCH($Q675,DFD!$B$2:$B$1048791,0)),"")</f>
        <v/>
      </c>
      <c r="W675" s="97" t="str">
        <f t="array" ref="W675">IFERROR(INDEX(DFD!$E$2:$E$1048791,MATCH($Q675,DFD!$B$2:$B$1048791,0)),"")</f>
        <v/>
      </c>
      <c r="X675" s="97" t="str">
        <f t="array" ref="X675">IFERROR(INDEX(DFD!$K$2:$K$1048791,MATCH($Q675,DFD!$B$2:$B$1048791,0)),"")</f>
        <v/>
      </c>
      <c r="Y675" s="97" t="str">
        <f t="array" ref="Y675">IFERROR(INDEX(DFD!$L$2:$L$1048790,MATCH($Q675,DFD!$B$2:$B$1048790,0)),"")</f>
        <v/>
      </c>
      <c r="Z675" s="97">
        <f t="shared" si="13"/>
        <v>45</v>
      </c>
      <c r="AA675" s="87"/>
      <c r="AB675" s="87" t="s">
        <v>78</v>
      </c>
      <c r="AC675" s="87"/>
      <c r="AD675" s="99">
        <v>46043.0</v>
      </c>
      <c r="AE675" s="100">
        <f t="shared" si="8"/>
        <v>1</v>
      </c>
    </row>
    <row r="676" ht="15.75" customHeight="1">
      <c r="A676" s="67" t="s">
        <v>1994</v>
      </c>
      <c r="B676" s="59" t="s">
        <v>184</v>
      </c>
      <c r="C676" s="60" t="s">
        <v>1995</v>
      </c>
      <c r="D676" s="60" t="s">
        <v>51</v>
      </c>
      <c r="E676" s="60">
        <v>10.0</v>
      </c>
      <c r="F676" s="72">
        <v>195.0</v>
      </c>
      <c r="G676" s="73" t="s">
        <v>53</v>
      </c>
      <c r="H676" s="74">
        <v>46143.0</v>
      </c>
      <c r="I676" s="67" t="s">
        <v>17</v>
      </c>
      <c r="J676" s="67" t="s">
        <v>54</v>
      </c>
      <c r="K676" s="67" t="s">
        <v>66</v>
      </c>
      <c r="L676" s="67" t="s">
        <v>67</v>
      </c>
      <c r="M676" s="73" t="s">
        <v>117</v>
      </c>
      <c r="N676" s="67" t="s">
        <v>20</v>
      </c>
      <c r="O676" s="59" t="s">
        <v>69</v>
      </c>
      <c r="P676" s="59"/>
      <c r="Q676" s="59" t="s">
        <v>800</v>
      </c>
      <c r="R676" s="76" t="s">
        <v>287</v>
      </c>
      <c r="S676" s="59"/>
      <c r="T676" s="59"/>
      <c r="U676" s="77" t="str">
        <f t="array" ref="U676">IFERROR(INDEX(DFD!$D$2:$D$1048791,MATCH($Q676,DFD!$B$2:$B$1048791,0)),"")</f>
        <v/>
      </c>
      <c r="V676" s="77" t="str">
        <f t="array" ref="V676">IFERROR(INDEX(DFD!$F$2:$F$1048791,MATCH($Q676,DFD!$B$2:$B$1048791,0)),"")</f>
        <v/>
      </c>
      <c r="W676" s="84" t="str">
        <f t="array" ref="W676">IFERROR(INDEX(DFD!$E$2:$E$1048791,MATCH($Q676,DFD!$B$2:$B$1048791,0)),"")</f>
        <v/>
      </c>
      <c r="X676" s="84" t="str">
        <f t="array" ref="X676">IFERROR(INDEX(DFD!$K$2:$K$1048791,MATCH($Q676,DFD!$B$2:$B$1048791,0)),"")</f>
        <v/>
      </c>
      <c r="Y676" s="84" t="str">
        <f t="array" ref="Y676">IFERROR(INDEX(DFD!$L$2:$L$1048790,MATCH($Q676,DFD!$B$2:$B$1048790,0)),"")</f>
        <v/>
      </c>
      <c r="Z676" s="84">
        <f t="shared" si="13"/>
        <v>45</v>
      </c>
      <c r="AA676" s="59"/>
      <c r="AB676" s="59" t="s">
        <v>78</v>
      </c>
      <c r="AC676" s="59"/>
      <c r="AD676" s="85">
        <v>46043.0</v>
      </c>
      <c r="AE676" s="86">
        <f t="shared" si="8"/>
        <v>1</v>
      </c>
    </row>
    <row r="677" ht="15.75" customHeight="1">
      <c r="A677" s="92" t="s">
        <v>1996</v>
      </c>
      <c r="B677" s="87" t="s">
        <v>184</v>
      </c>
      <c r="C677" s="88" t="s">
        <v>1997</v>
      </c>
      <c r="D677" s="88" t="s">
        <v>51</v>
      </c>
      <c r="E677" s="88">
        <v>50.0</v>
      </c>
      <c r="F677" s="89">
        <v>1400.0</v>
      </c>
      <c r="G677" s="90" t="s">
        <v>53</v>
      </c>
      <c r="H677" s="91">
        <v>46174.0</v>
      </c>
      <c r="I677" s="92" t="s">
        <v>17</v>
      </c>
      <c r="J677" s="92" t="s">
        <v>54</v>
      </c>
      <c r="K677" s="92" t="s">
        <v>66</v>
      </c>
      <c r="L677" s="92" t="s">
        <v>67</v>
      </c>
      <c r="M677" s="90" t="s">
        <v>57</v>
      </c>
      <c r="N677" s="92" t="s">
        <v>20</v>
      </c>
      <c r="O677" s="92" t="s">
        <v>89</v>
      </c>
      <c r="P677" s="87"/>
      <c r="Q677" s="87" t="s">
        <v>534</v>
      </c>
      <c r="R677" s="93" t="s">
        <v>187</v>
      </c>
      <c r="S677" s="87"/>
      <c r="T677" s="87"/>
      <c r="U677" s="94" t="str">
        <f t="array" ref="U677">IFERROR(INDEX(DFD!$D$2:$D$1048791,MATCH($Q677,DFD!$B$2:$B$1048791,0)),"")</f>
        <v/>
      </c>
      <c r="V677" s="94" t="str">
        <f t="array" ref="V677">IFERROR(INDEX(DFD!$F$2:$F$1048791,MATCH($Q677,DFD!$B$2:$B$1048791,0)),"")</f>
        <v/>
      </c>
      <c r="W677" s="97" t="str">
        <f t="array" ref="W677">IFERROR(INDEX(DFD!$E$2:$E$1048791,MATCH($Q677,DFD!$B$2:$B$1048791,0)),"")</f>
        <v/>
      </c>
      <c r="X677" s="97" t="str">
        <f t="array" ref="X677">IFERROR(INDEX(DFD!$K$2:$K$1048791,MATCH($Q677,DFD!$B$2:$B$1048791,0)),"")</f>
        <v/>
      </c>
      <c r="Y677" s="97" t="str">
        <f t="array" ref="Y677">IFERROR(INDEX(DFD!$L$2:$L$1048790,MATCH($Q677,DFD!$B$2:$B$1048790,0)),"")</f>
        <v/>
      </c>
      <c r="Z677" s="97">
        <f t="shared" si="13"/>
        <v>45</v>
      </c>
      <c r="AA677" s="87"/>
      <c r="AB677" s="87" t="s">
        <v>78</v>
      </c>
      <c r="AC677" s="87"/>
      <c r="AD677" s="99">
        <v>46043.0</v>
      </c>
      <c r="AE677" s="100">
        <f t="shared" si="8"/>
        <v>1</v>
      </c>
    </row>
    <row r="678" ht="15.75" customHeight="1">
      <c r="A678" s="67"/>
      <c r="B678" s="59" t="s">
        <v>361</v>
      </c>
      <c r="C678" s="60" t="s">
        <v>1998</v>
      </c>
      <c r="D678" s="60" t="s">
        <v>51</v>
      </c>
      <c r="E678" s="81">
        <v>1.0</v>
      </c>
      <c r="F678" s="72">
        <v>7740.0</v>
      </c>
      <c r="G678" s="73" t="s">
        <v>53</v>
      </c>
      <c r="H678" s="83">
        <v>46192.0</v>
      </c>
      <c r="I678" s="67" t="s">
        <v>17</v>
      </c>
      <c r="J678" s="67" t="s">
        <v>54</v>
      </c>
      <c r="K678" s="67" t="s">
        <v>66</v>
      </c>
      <c r="L678" s="67" t="s">
        <v>56</v>
      </c>
      <c r="M678" s="73" t="s">
        <v>104</v>
      </c>
      <c r="N678" s="67" t="s">
        <v>20</v>
      </c>
      <c r="O678" s="59" t="s">
        <v>69</v>
      </c>
      <c r="P678" s="59"/>
      <c r="Q678" s="59" t="s">
        <v>1999</v>
      </c>
      <c r="R678" s="40" t="s">
        <v>61</v>
      </c>
      <c r="S678" s="59"/>
      <c r="T678" s="59"/>
      <c r="U678" s="77" t="str">
        <f t="array" ref="U678">IFERROR(INDEX(DFD!$D$2:$D$1048791,MATCH($Q678,DFD!$B$2:$B$1048791,0)),"")</f>
        <v/>
      </c>
      <c r="V678" s="77" t="str">
        <f t="array" ref="V678">IFERROR(INDEX(DFD!$F$2:$F$1048791,MATCH($Q678,DFD!$B$2:$B$1048791,0)),"")</f>
        <v/>
      </c>
      <c r="W678" s="84" t="str">
        <f t="array" ref="W678">IFERROR(INDEX(DFD!$E$2:$E$1048791,MATCH($Q678,DFD!$B$2:$B$1048791,0)),"")</f>
        <v/>
      </c>
      <c r="X678" s="84" t="str">
        <f t="array" ref="X678">IFERROR(INDEX(DFD!$K$2:$K$1048791,MATCH($Q678,DFD!$B$2:$B$1048791,0)),"")</f>
        <v/>
      </c>
      <c r="Y678" s="84" t="str">
        <f t="array" ref="Y678">IFERROR(INDEX(DFD!$L$2:$L$1048790,MATCH($Q678,DFD!$B$2:$B$1048790,0)),"")</f>
        <v/>
      </c>
      <c r="Z678" s="84">
        <f t="shared" si="13"/>
        <v>45</v>
      </c>
      <c r="AA678" s="59"/>
      <c r="AB678" s="59" t="s">
        <v>72</v>
      </c>
      <c r="AC678" s="59"/>
      <c r="AD678" s="85">
        <v>46044.0</v>
      </c>
      <c r="AE678" s="86">
        <f t="shared" si="8"/>
        <v>1</v>
      </c>
    </row>
    <row r="679" ht="15.75" customHeight="1">
      <c r="A679" s="87" t="s">
        <v>2000</v>
      </c>
      <c r="B679" s="71" t="s">
        <v>81</v>
      </c>
      <c r="C679" s="88" t="s">
        <v>2001</v>
      </c>
      <c r="D679" s="88" t="s">
        <v>51</v>
      </c>
      <c r="E679" s="88">
        <v>6.0</v>
      </c>
      <c r="F679" s="89">
        <v>6600.0</v>
      </c>
      <c r="G679" s="90" t="s">
        <v>53</v>
      </c>
      <c r="H679" s="91">
        <v>46204.0</v>
      </c>
      <c r="I679" s="92" t="s">
        <v>17</v>
      </c>
      <c r="J679" s="92" t="s">
        <v>54</v>
      </c>
      <c r="K679" s="92" t="s">
        <v>66</v>
      </c>
      <c r="L679" s="92" t="s">
        <v>67</v>
      </c>
      <c r="M679" s="90" t="s">
        <v>68</v>
      </c>
      <c r="N679" s="92" t="s">
        <v>5</v>
      </c>
      <c r="O679" s="87" t="s">
        <v>69</v>
      </c>
      <c r="P679" s="87"/>
      <c r="Q679" s="87" t="s">
        <v>2002</v>
      </c>
      <c r="R679" s="93" t="s">
        <v>402</v>
      </c>
      <c r="S679" s="87"/>
      <c r="T679" s="87"/>
      <c r="U679" s="94" t="str">
        <f t="array" ref="U679">IFERROR(INDEX(DFD!$D$2:$D$1048791,MATCH($Q679,DFD!$B$2:$B$1048791,0)),"")</f>
        <v/>
      </c>
      <c r="V679" s="94" t="s">
        <v>280</v>
      </c>
      <c r="W679" s="97" t="str">
        <f t="array" ref="W679">IFERROR(INDEX(DFD!$E$2:$E$1048791,MATCH($Q679,DFD!$B$2:$B$1048791,0)),"")</f>
        <v/>
      </c>
      <c r="X679" s="97" t="str">
        <f t="array" ref="X679">IFERROR(INDEX(DFD!$K$2:$K$1048791,MATCH($Q679,DFD!$B$2:$B$1048791,0)),"")</f>
        <v/>
      </c>
      <c r="Y679" s="97" t="str">
        <f t="array" ref="Y679">IFERROR(INDEX(DFD!$L$2:$L$1048790,MATCH($Q679,DFD!$B$2:$B$1048790,0)),"")</f>
        <v/>
      </c>
      <c r="Z679" s="97">
        <f t="shared" si="13"/>
        <v>45</v>
      </c>
      <c r="AA679" s="87"/>
      <c r="AB679" s="87" t="s">
        <v>78</v>
      </c>
      <c r="AC679" s="87"/>
      <c r="AD679" s="99">
        <v>46043.0</v>
      </c>
      <c r="AE679" s="100">
        <f t="shared" si="8"/>
        <v>1</v>
      </c>
    </row>
    <row r="680" ht="15.75" customHeight="1">
      <c r="A680" s="59" t="s">
        <v>2003</v>
      </c>
      <c r="B680" s="59" t="s">
        <v>171</v>
      </c>
      <c r="C680" s="60" t="s">
        <v>2001</v>
      </c>
      <c r="D680" s="60" t="s">
        <v>51</v>
      </c>
      <c r="E680" s="60">
        <v>4.0</v>
      </c>
      <c r="F680" s="72">
        <v>4400.0</v>
      </c>
      <c r="G680" s="73" t="s">
        <v>53</v>
      </c>
      <c r="H680" s="74">
        <v>46204.0</v>
      </c>
      <c r="I680" s="67" t="s">
        <v>17</v>
      </c>
      <c r="J680" s="67" t="s">
        <v>54</v>
      </c>
      <c r="K680" s="67" t="s">
        <v>66</v>
      </c>
      <c r="L680" s="67" t="s">
        <v>67</v>
      </c>
      <c r="M680" s="73" t="s">
        <v>68</v>
      </c>
      <c r="N680" s="67" t="s">
        <v>5</v>
      </c>
      <c r="O680" s="67" t="s">
        <v>89</v>
      </c>
      <c r="P680" s="59"/>
      <c r="Q680" s="59" t="s">
        <v>2002</v>
      </c>
      <c r="R680" s="76" t="s">
        <v>402</v>
      </c>
      <c r="S680" s="59"/>
      <c r="T680" s="59"/>
      <c r="U680" s="77" t="str">
        <f t="array" ref="U680">IFERROR(INDEX(DFD!$D$2:$D$1048791,MATCH($Q680,DFD!$B$2:$B$1048791,0)),"")</f>
        <v/>
      </c>
      <c r="V680" s="77" t="s">
        <v>280</v>
      </c>
      <c r="W680" s="84" t="str">
        <f t="array" ref="W680">IFERROR(INDEX(DFD!$E$2:$E$1048791,MATCH($Q680,DFD!$B$2:$B$1048791,0)),"")</f>
        <v/>
      </c>
      <c r="X680" s="84" t="str">
        <f t="array" ref="X680">IFERROR(INDEX(DFD!$K$2:$K$1048791,MATCH($Q680,DFD!$B$2:$B$1048791,0)),"")</f>
        <v/>
      </c>
      <c r="Y680" s="84" t="str">
        <f t="array" ref="Y680">IFERROR(INDEX(DFD!$L$2:$L$1048790,MATCH($Q680,DFD!$B$2:$B$1048790,0)),"")</f>
        <v/>
      </c>
      <c r="Z680" s="84">
        <f t="shared" si="13"/>
        <v>45</v>
      </c>
      <c r="AA680" s="59"/>
      <c r="AB680" s="59" t="s">
        <v>78</v>
      </c>
      <c r="AC680" s="59"/>
      <c r="AD680" s="85">
        <v>46043.0</v>
      </c>
      <c r="AE680" s="86">
        <f t="shared" si="8"/>
        <v>1</v>
      </c>
    </row>
    <row r="681" ht="15.75" customHeight="1">
      <c r="A681" s="87" t="s">
        <v>2004</v>
      </c>
      <c r="B681" s="87" t="s">
        <v>95</v>
      </c>
      <c r="C681" s="88" t="s">
        <v>2001</v>
      </c>
      <c r="D681" s="88" t="s">
        <v>51</v>
      </c>
      <c r="E681" s="88">
        <v>4.0</v>
      </c>
      <c r="F681" s="89">
        <v>4400.0</v>
      </c>
      <c r="G681" s="90" t="s">
        <v>53</v>
      </c>
      <c r="H681" s="91">
        <v>46204.0</v>
      </c>
      <c r="I681" s="92" t="s">
        <v>17</v>
      </c>
      <c r="J681" s="92" t="s">
        <v>54</v>
      </c>
      <c r="K681" s="92" t="s">
        <v>66</v>
      </c>
      <c r="L681" s="92" t="s">
        <v>67</v>
      </c>
      <c r="M681" s="90" t="s">
        <v>68</v>
      </c>
      <c r="N681" s="92" t="s">
        <v>5</v>
      </c>
      <c r="O681" s="87" t="s">
        <v>69</v>
      </c>
      <c r="P681" s="87"/>
      <c r="Q681" s="87" t="s">
        <v>2002</v>
      </c>
      <c r="R681" s="93" t="s">
        <v>402</v>
      </c>
      <c r="S681" s="87"/>
      <c r="T681" s="87"/>
      <c r="U681" s="94" t="str">
        <f t="array" ref="U681">IFERROR(INDEX(DFD!$D$2:$D$1048791,MATCH($Q681,DFD!$B$2:$B$1048791,0)),"")</f>
        <v/>
      </c>
      <c r="V681" s="94" t="s">
        <v>280</v>
      </c>
      <c r="W681" s="97" t="str">
        <f t="array" ref="W681">IFERROR(INDEX(DFD!$E$2:$E$1048791,MATCH($Q681,DFD!$B$2:$B$1048791,0)),"")</f>
        <v/>
      </c>
      <c r="X681" s="97" t="str">
        <f t="array" ref="X681">IFERROR(INDEX(DFD!$K$2:$K$1048791,MATCH($Q681,DFD!$B$2:$B$1048791,0)),"")</f>
        <v/>
      </c>
      <c r="Y681" s="97" t="str">
        <f t="array" ref="Y681">IFERROR(INDEX(DFD!$L$2:$L$1048790,MATCH($Q681,DFD!$B$2:$B$1048790,0)),"")</f>
        <v/>
      </c>
      <c r="Z681" s="97">
        <f t="shared" si="13"/>
        <v>45</v>
      </c>
      <c r="AA681" s="87"/>
      <c r="AB681" s="87" t="s">
        <v>78</v>
      </c>
      <c r="AC681" s="87"/>
      <c r="AD681" s="99">
        <v>46043.0</v>
      </c>
      <c r="AE681" s="100">
        <f t="shared" si="8"/>
        <v>1</v>
      </c>
    </row>
    <row r="682" ht="15.75" customHeight="1">
      <c r="A682" s="59" t="s">
        <v>2005</v>
      </c>
      <c r="B682" s="59" t="s">
        <v>94</v>
      </c>
      <c r="C682" s="60" t="s">
        <v>2001</v>
      </c>
      <c r="D682" s="60" t="s">
        <v>51</v>
      </c>
      <c r="E682" s="60">
        <v>4.0</v>
      </c>
      <c r="F682" s="72">
        <v>4400.0</v>
      </c>
      <c r="G682" s="73" t="s">
        <v>53</v>
      </c>
      <c r="H682" s="74">
        <v>46204.0</v>
      </c>
      <c r="I682" s="67" t="s">
        <v>17</v>
      </c>
      <c r="J682" s="67" t="s">
        <v>54</v>
      </c>
      <c r="K682" s="67" t="s">
        <v>66</v>
      </c>
      <c r="L682" s="67" t="s">
        <v>67</v>
      </c>
      <c r="M682" s="73" t="s">
        <v>68</v>
      </c>
      <c r="N682" s="67" t="s">
        <v>5</v>
      </c>
      <c r="O682" s="59" t="s">
        <v>69</v>
      </c>
      <c r="P682" s="59"/>
      <c r="Q682" s="59" t="s">
        <v>2002</v>
      </c>
      <c r="R682" s="76" t="s">
        <v>402</v>
      </c>
      <c r="S682" s="59"/>
      <c r="T682" s="59"/>
      <c r="U682" s="77" t="str">
        <f t="array" ref="U682">IFERROR(INDEX(DFD!$D$2:$D$1048791,MATCH($Q682,DFD!$B$2:$B$1048791,0)),"")</f>
        <v/>
      </c>
      <c r="V682" s="77" t="s">
        <v>280</v>
      </c>
      <c r="W682" s="84" t="str">
        <f t="array" ref="W682">IFERROR(INDEX(DFD!$E$2:$E$1048791,MATCH($Q682,DFD!$B$2:$B$1048791,0)),"")</f>
        <v/>
      </c>
      <c r="X682" s="84" t="str">
        <f t="array" ref="X682">IFERROR(INDEX(DFD!$K$2:$K$1048791,MATCH($Q682,DFD!$B$2:$B$1048791,0)),"")</f>
        <v/>
      </c>
      <c r="Y682" s="84" t="str">
        <f t="array" ref="Y682">IFERROR(INDEX(DFD!$L$2:$L$1048790,MATCH($Q682,DFD!$B$2:$B$1048790,0)),"")</f>
        <v/>
      </c>
      <c r="Z682" s="84">
        <f t="shared" si="13"/>
        <v>45</v>
      </c>
      <c r="AA682" s="59"/>
      <c r="AB682" s="59" t="s">
        <v>78</v>
      </c>
      <c r="AC682" s="59"/>
      <c r="AD682" s="85">
        <v>46043.0</v>
      </c>
      <c r="AE682" s="86">
        <f t="shared" si="8"/>
        <v>1</v>
      </c>
    </row>
    <row r="683" ht="15.75" customHeight="1">
      <c r="A683" s="87" t="s">
        <v>2006</v>
      </c>
      <c r="B683" s="87" t="s">
        <v>101</v>
      </c>
      <c r="C683" s="88" t="s">
        <v>2007</v>
      </c>
      <c r="D683" s="88" t="s">
        <v>51</v>
      </c>
      <c r="E683" s="88">
        <v>6.0</v>
      </c>
      <c r="F683" s="89">
        <v>840.0</v>
      </c>
      <c r="G683" s="90" t="s">
        <v>53</v>
      </c>
      <c r="H683" s="91">
        <v>46174.0</v>
      </c>
      <c r="I683" s="92" t="s">
        <v>17</v>
      </c>
      <c r="J683" s="92" t="s">
        <v>54</v>
      </c>
      <c r="K683" s="92" t="s">
        <v>66</v>
      </c>
      <c r="L683" s="92" t="s">
        <v>67</v>
      </c>
      <c r="M683" s="90" t="s">
        <v>68</v>
      </c>
      <c r="N683" s="92" t="s">
        <v>5</v>
      </c>
      <c r="O683" s="92" t="s">
        <v>89</v>
      </c>
      <c r="P683" s="87"/>
      <c r="Q683" s="87" t="s">
        <v>2002</v>
      </c>
      <c r="R683" s="93" t="s">
        <v>402</v>
      </c>
      <c r="S683" s="87"/>
      <c r="T683" s="87"/>
      <c r="U683" s="94" t="str">
        <f t="array" ref="U683">IFERROR(INDEX(DFD!$D$2:$D$1048791,MATCH($Q683,DFD!$B$2:$B$1048791,0)),"")</f>
        <v/>
      </c>
      <c r="V683" s="94" t="s">
        <v>280</v>
      </c>
      <c r="W683" s="97" t="str">
        <f t="array" ref="W683">IFERROR(INDEX(DFD!$E$2:$E$1048791,MATCH($Q683,DFD!$B$2:$B$1048791,0)),"")</f>
        <v/>
      </c>
      <c r="X683" s="97" t="str">
        <f t="array" ref="X683">IFERROR(INDEX(DFD!$K$2:$K$1048791,MATCH($Q683,DFD!$B$2:$B$1048791,0)),"")</f>
        <v/>
      </c>
      <c r="Y683" s="97" t="str">
        <f t="array" ref="Y683">IFERROR(INDEX(DFD!$L$2:$L$1048790,MATCH($Q683,DFD!$B$2:$B$1048790,0)),"")</f>
        <v/>
      </c>
      <c r="Z683" s="97">
        <f t="shared" si="13"/>
        <v>45</v>
      </c>
      <c r="AA683" s="87"/>
      <c r="AB683" s="87" t="s">
        <v>78</v>
      </c>
      <c r="AC683" s="87"/>
      <c r="AD683" s="99">
        <v>46043.0</v>
      </c>
      <c r="AE683" s="100">
        <f t="shared" si="8"/>
        <v>1</v>
      </c>
    </row>
    <row r="684" ht="15.75" customHeight="1">
      <c r="A684" s="59" t="s">
        <v>2008</v>
      </c>
      <c r="B684" s="59" t="s">
        <v>91</v>
      </c>
      <c r="C684" s="60" t="s">
        <v>2009</v>
      </c>
      <c r="D684" s="60" t="s">
        <v>51</v>
      </c>
      <c r="E684" s="60">
        <v>1.0</v>
      </c>
      <c r="F684" s="72">
        <v>800.0</v>
      </c>
      <c r="G684" s="73" t="s">
        <v>53</v>
      </c>
      <c r="H684" s="74">
        <v>46174.0</v>
      </c>
      <c r="I684" s="67" t="s">
        <v>17</v>
      </c>
      <c r="J684" s="67" t="s">
        <v>54</v>
      </c>
      <c r="K684" s="67" t="s">
        <v>66</v>
      </c>
      <c r="L684" s="67" t="s">
        <v>67</v>
      </c>
      <c r="M684" s="73" t="s">
        <v>68</v>
      </c>
      <c r="N684" s="67" t="s">
        <v>5</v>
      </c>
      <c r="O684" s="59" t="s">
        <v>69</v>
      </c>
      <c r="P684" s="59"/>
      <c r="Q684" s="59" t="s">
        <v>2002</v>
      </c>
      <c r="R684" s="76" t="s">
        <v>402</v>
      </c>
      <c r="S684" s="59"/>
      <c r="T684" s="59"/>
      <c r="U684" s="77" t="str">
        <f t="array" ref="U684">IFERROR(INDEX(DFD!$D$2:$D$1048791,MATCH($Q684,DFD!$B$2:$B$1048791,0)),"")</f>
        <v/>
      </c>
      <c r="V684" s="77" t="s">
        <v>280</v>
      </c>
      <c r="W684" s="84" t="str">
        <f t="array" ref="W684">IFERROR(INDEX(DFD!$E$2:$E$1048791,MATCH($Q684,DFD!$B$2:$B$1048791,0)),"")</f>
        <v/>
      </c>
      <c r="X684" s="84" t="str">
        <f t="array" ref="X684">IFERROR(INDEX(DFD!$K$2:$K$1048791,MATCH($Q684,DFD!$B$2:$B$1048791,0)),"")</f>
        <v/>
      </c>
      <c r="Y684" s="84" t="str">
        <f t="array" ref="Y684">IFERROR(INDEX(DFD!$L$2:$L$1048790,MATCH($Q684,DFD!$B$2:$B$1048790,0)),"")</f>
        <v/>
      </c>
      <c r="Z684" s="84">
        <f t="shared" si="13"/>
        <v>45</v>
      </c>
      <c r="AA684" s="59"/>
      <c r="AB684" s="59" t="s">
        <v>78</v>
      </c>
      <c r="AC684" s="59"/>
      <c r="AD684" s="85">
        <v>46043.0</v>
      </c>
      <c r="AE684" s="86">
        <f t="shared" si="8"/>
        <v>1</v>
      </c>
    </row>
    <row r="685" ht="15.75" customHeight="1">
      <c r="A685" s="87" t="s">
        <v>2010</v>
      </c>
      <c r="B685" s="87" t="s">
        <v>148</v>
      </c>
      <c r="C685" s="88" t="s">
        <v>2011</v>
      </c>
      <c r="D685" s="88" t="s">
        <v>51</v>
      </c>
      <c r="E685" s="88">
        <v>1.0</v>
      </c>
      <c r="F685" s="89">
        <v>70.0</v>
      </c>
      <c r="G685" s="90" t="s">
        <v>53</v>
      </c>
      <c r="H685" s="91">
        <v>46143.0</v>
      </c>
      <c r="I685" s="92" t="s">
        <v>17</v>
      </c>
      <c r="J685" s="92" t="s">
        <v>54</v>
      </c>
      <c r="K685" s="92" t="s">
        <v>66</v>
      </c>
      <c r="L685" s="92" t="s">
        <v>67</v>
      </c>
      <c r="M685" s="90" t="s">
        <v>132</v>
      </c>
      <c r="N685" s="92" t="s">
        <v>5</v>
      </c>
      <c r="O685" s="87" t="s">
        <v>69</v>
      </c>
      <c r="P685" s="87"/>
      <c r="Q685" s="87" t="s">
        <v>800</v>
      </c>
      <c r="R685" s="93" t="s">
        <v>287</v>
      </c>
      <c r="S685" s="87"/>
      <c r="T685" s="87"/>
      <c r="U685" s="94" t="str">
        <f t="array" ref="U685">IFERROR(INDEX(DFD!$D$2:$D$1048791,MATCH($Q685,DFD!$B$2:$B$1048791,0)),"")</f>
        <v/>
      </c>
      <c r="V685" s="94" t="str">
        <f t="array" ref="V685">IFERROR(INDEX(DFD!$F$2:$F$1048791,MATCH($Q685,DFD!$B$2:$B$1048791,0)),"")</f>
        <v/>
      </c>
      <c r="W685" s="97" t="str">
        <f t="array" ref="W685">IFERROR(INDEX(DFD!$E$2:$E$1048791,MATCH($Q685,DFD!$B$2:$B$1048791,0)),"")</f>
        <v/>
      </c>
      <c r="X685" s="97" t="str">
        <f t="array" ref="X685">IFERROR(INDEX(DFD!$K$2:$K$1048791,MATCH($Q685,DFD!$B$2:$B$1048791,0)),"")</f>
        <v/>
      </c>
      <c r="Y685" s="97" t="str">
        <f t="array" ref="Y685">IFERROR(INDEX(DFD!$L$2:$L$1048790,MATCH($Q685,DFD!$B$2:$B$1048790,0)),"")</f>
        <v/>
      </c>
      <c r="Z685" s="97">
        <f t="shared" si="13"/>
        <v>45</v>
      </c>
      <c r="AA685" s="87"/>
      <c r="AB685" s="87" t="s">
        <v>78</v>
      </c>
      <c r="AC685" s="87"/>
      <c r="AD685" s="99">
        <v>46043.0</v>
      </c>
      <c r="AE685" s="100">
        <f t="shared" si="8"/>
        <v>1</v>
      </c>
    </row>
    <row r="686" ht="15.75" customHeight="1">
      <c r="A686" s="59" t="s">
        <v>2012</v>
      </c>
      <c r="B686" s="59" t="s">
        <v>94</v>
      </c>
      <c r="C686" s="60" t="s">
        <v>2013</v>
      </c>
      <c r="D686" s="60" t="s">
        <v>51</v>
      </c>
      <c r="E686" s="60">
        <v>20.0</v>
      </c>
      <c r="F686" s="72">
        <v>798.0</v>
      </c>
      <c r="G686" s="73" t="s">
        <v>53</v>
      </c>
      <c r="H686" s="74">
        <v>46174.0</v>
      </c>
      <c r="I686" s="67" t="s">
        <v>17</v>
      </c>
      <c r="J686" s="67" t="s">
        <v>54</v>
      </c>
      <c r="K686" s="67" t="s">
        <v>66</v>
      </c>
      <c r="L686" s="67" t="s">
        <v>67</v>
      </c>
      <c r="M686" s="73" t="s">
        <v>117</v>
      </c>
      <c r="N686" s="67" t="s">
        <v>5</v>
      </c>
      <c r="O686" s="67" t="s">
        <v>89</v>
      </c>
      <c r="P686" s="59"/>
      <c r="Q686" s="59" t="s">
        <v>1893</v>
      </c>
      <c r="R686" s="76" t="s">
        <v>616</v>
      </c>
      <c r="S686" s="59"/>
      <c r="T686" s="59"/>
      <c r="U686" s="77" t="str">
        <f t="array" ref="U686">IFERROR(INDEX(DFD!$D$2:$D$1048791,MATCH($Q686,DFD!$B$2:$B$1048791,0)),"")</f>
        <v/>
      </c>
      <c r="V686" s="77" t="str">
        <f t="array" ref="V686">IFERROR(INDEX(DFD!$F$2:$F$1048791,MATCH($Q686,DFD!$B$2:$B$1048791,0)),"")</f>
        <v/>
      </c>
      <c r="W686" s="84" t="str">
        <f t="array" ref="W686">IFERROR(INDEX(DFD!$E$2:$E$1048791,MATCH($Q686,DFD!$B$2:$B$1048791,0)),"")</f>
        <v/>
      </c>
      <c r="X686" s="84" t="str">
        <f t="array" ref="X686">IFERROR(INDEX(DFD!$K$2:$K$1048791,MATCH($Q686,DFD!$B$2:$B$1048791,0)),"")</f>
        <v/>
      </c>
      <c r="Y686" s="84" t="str">
        <f t="array" ref="Y686">IFERROR(INDEX(DFD!$L$2:$L$1048790,MATCH($Q686,DFD!$B$2:$B$1048790,0)),"")</f>
        <v/>
      </c>
      <c r="Z686" s="84">
        <f t="shared" si="13"/>
        <v>45</v>
      </c>
      <c r="AA686" s="59"/>
      <c r="AB686" s="59" t="s">
        <v>78</v>
      </c>
      <c r="AC686" s="59"/>
      <c r="AD686" s="85">
        <v>46043.0</v>
      </c>
      <c r="AE686" s="86">
        <f t="shared" si="8"/>
        <v>1</v>
      </c>
    </row>
    <row r="687" ht="15.75" customHeight="1">
      <c r="A687" s="92" t="s">
        <v>2014</v>
      </c>
      <c r="B687" s="87" t="s">
        <v>184</v>
      </c>
      <c r="C687" s="88" t="s">
        <v>2015</v>
      </c>
      <c r="D687" s="88" t="s">
        <v>51</v>
      </c>
      <c r="E687" s="88">
        <v>60.0</v>
      </c>
      <c r="F687" s="89">
        <v>420.0</v>
      </c>
      <c r="G687" s="90" t="s">
        <v>53</v>
      </c>
      <c r="H687" s="91">
        <v>46174.0</v>
      </c>
      <c r="I687" s="92" t="s">
        <v>17</v>
      </c>
      <c r="J687" s="92" t="s">
        <v>54</v>
      </c>
      <c r="K687" s="92" t="s">
        <v>66</v>
      </c>
      <c r="L687" s="92" t="s">
        <v>67</v>
      </c>
      <c r="M687" s="90" t="s">
        <v>68</v>
      </c>
      <c r="N687" s="92" t="s">
        <v>20</v>
      </c>
      <c r="O687" s="87" t="s">
        <v>69</v>
      </c>
      <c r="P687" s="87"/>
      <c r="Q687" s="87" t="s">
        <v>191</v>
      </c>
      <c r="R687" s="93" t="s">
        <v>187</v>
      </c>
      <c r="S687" s="87"/>
      <c r="T687" s="87"/>
      <c r="U687" s="94" t="str">
        <f t="array" ref="U687">IFERROR(INDEX(DFD!$D$2:$D$1048791,MATCH($Q687,DFD!$B$2:$B$1048791,0)),"")</f>
        <v/>
      </c>
      <c r="V687" s="94" t="str">
        <f t="array" ref="V687">IFERROR(INDEX(DFD!$F$2:$F$1048791,MATCH($Q687,DFD!$B$2:$B$1048791,0)),"")</f>
        <v/>
      </c>
      <c r="W687" s="97" t="str">
        <f t="array" ref="W687">IFERROR(INDEX(DFD!$E$2:$E$1048791,MATCH($Q687,DFD!$B$2:$B$1048791,0)),"")</f>
        <v/>
      </c>
      <c r="X687" s="97" t="str">
        <f t="array" ref="X687">IFERROR(INDEX(DFD!$K$2:$K$1048791,MATCH($Q687,DFD!$B$2:$B$1048791,0)),"")</f>
        <v/>
      </c>
      <c r="Y687" s="97" t="str">
        <f t="array" ref="Y687">IFERROR(INDEX(DFD!$L$2:$L$1048790,MATCH($Q687,DFD!$B$2:$B$1048790,0)),"")</f>
        <v/>
      </c>
      <c r="Z687" s="97">
        <f t="shared" si="13"/>
        <v>45</v>
      </c>
      <c r="AA687" s="87"/>
      <c r="AB687" s="87" t="s">
        <v>78</v>
      </c>
      <c r="AC687" s="87"/>
      <c r="AD687" s="99">
        <v>46043.0</v>
      </c>
      <c r="AE687" s="100">
        <f t="shared" si="8"/>
        <v>1</v>
      </c>
    </row>
    <row r="688" ht="15.75" customHeight="1">
      <c r="A688" s="59" t="s">
        <v>2016</v>
      </c>
      <c r="B688" s="67" t="s">
        <v>101</v>
      </c>
      <c r="C688" s="60" t="s">
        <v>2017</v>
      </c>
      <c r="D688" s="81" t="s">
        <v>51</v>
      </c>
      <c r="E688" s="81">
        <v>60.0</v>
      </c>
      <c r="F688" s="101">
        <v>15480.0</v>
      </c>
      <c r="G688" s="73" t="s">
        <v>53</v>
      </c>
      <c r="H688" s="83">
        <v>46235.0</v>
      </c>
      <c r="I688" s="67" t="s">
        <v>17</v>
      </c>
      <c r="J688" s="67" t="s">
        <v>54</v>
      </c>
      <c r="K688" s="67" t="s">
        <v>66</v>
      </c>
      <c r="L688" s="67" t="s">
        <v>56</v>
      </c>
      <c r="M688" s="73" t="s">
        <v>68</v>
      </c>
      <c r="N688" s="67" t="s">
        <v>58</v>
      </c>
      <c r="O688" s="59" t="s">
        <v>69</v>
      </c>
      <c r="P688" s="59"/>
      <c r="Q688" s="59" t="s">
        <v>2018</v>
      </c>
      <c r="R688" s="76" t="s">
        <v>71</v>
      </c>
      <c r="S688" s="59"/>
      <c r="T688" s="59"/>
      <c r="U688" s="77" t="str">
        <f t="array" ref="U688">IFERROR(INDEX(DFD!$D$2:$D$1048791,MATCH($Q688,DFD!$B$2:$B$1048791,0)),"")</f>
        <v/>
      </c>
      <c r="V688" s="77" t="s">
        <v>280</v>
      </c>
      <c r="W688" s="84" t="str">
        <f t="array" ref="W688">IFERROR(INDEX(DFD!$E$2:$E$1048791,MATCH($Q688,DFD!$B$2:$B$1048791,0)),"")</f>
        <v/>
      </c>
      <c r="X688" s="84" t="str">
        <f t="array" ref="X688">IFERROR(INDEX(DFD!$K$2:$K$1048791,MATCH($Q688,DFD!$B$2:$B$1048791,0)),"")</f>
        <v/>
      </c>
      <c r="Y688" s="84" t="str">
        <f t="array" ref="Y688">IFERROR(INDEX(DFD!$L$2:$L$1048790,MATCH($Q688,DFD!$B$2:$B$1048790,0)),"")</f>
        <v/>
      </c>
      <c r="Z688" s="84">
        <f t="shared" si="13"/>
        <v>45</v>
      </c>
      <c r="AA688" s="59"/>
      <c r="AB688" s="59" t="s">
        <v>78</v>
      </c>
      <c r="AC688" s="59"/>
      <c r="AD688" s="85">
        <v>46043.0</v>
      </c>
      <c r="AE688" s="86">
        <f t="shared" si="8"/>
        <v>1</v>
      </c>
    </row>
    <row r="689" ht="15.75" customHeight="1">
      <c r="A689" s="92" t="s">
        <v>2019</v>
      </c>
      <c r="B689" s="87" t="s">
        <v>184</v>
      </c>
      <c r="C689" s="88" t="s">
        <v>2020</v>
      </c>
      <c r="D689" s="88" t="s">
        <v>2021</v>
      </c>
      <c r="E689" s="88">
        <v>1000.0</v>
      </c>
      <c r="F689" s="89">
        <v>30000.0</v>
      </c>
      <c r="G689" s="90" t="s">
        <v>53</v>
      </c>
      <c r="H689" s="91">
        <v>46235.0</v>
      </c>
      <c r="I689" s="92" t="s">
        <v>17</v>
      </c>
      <c r="J689" s="92" t="s">
        <v>54</v>
      </c>
      <c r="K689" s="92" t="s">
        <v>66</v>
      </c>
      <c r="L689" s="92" t="s">
        <v>67</v>
      </c>
      <c r="M689" s="90" t="s">
        <v>57</v>
      </c>
      <c r="N689" s="92" t="s">
        <v>20</v>
      </c>
      <c r="O689" s="92" t="s">
        <v>89</v>
      </c>
      <c r="P689" s="87"/>
      <c r="Q689" s="87" t="s">
        <v>1884</v>
      </c>
      <c r="R689" s="93" t="s">
        <v>269</v>
      </c>
      <c r="S689" s="87"/>
      <c r="T689" s="87"/>
      <c r="U689" s="94" t="str">
        <f t="array" ref="U689">IFERROR(INDEX(DFD!$D$2:$D$1048791,MATCH($Q689,DFD!$B$2:$B$1048791,0)),"")</f>
        <v/>
      </c>
      <c r="V689" s="94" t="str">
        <f t="array" ref="V689">IFERROR(INDEX(DFD!$F$2:$F$1048791,MATCH($Q689,DFD!$B$2:$B$1048791,0)),"")</f>
        <v/>
      </c>
      <c r="W689" s="97" t="str">
        <f t="array" ref="W689">IFERROR(INDEX(DFD!$E$2:$E$1048791,MATCH($Q689,DFD!$B$2:$B$1048791,0)),"")</f>
        <v/>
      </c>
      <c r="X689" s="97" t="str">
        <f t="array" ref="X689">IFERROR(INDEX(DFD!$K$2:$K$1048791,MATCH($Q689,DFD!$B$2:$B$1048791,0)),"")</f>
        <v/>
      </c>
      <c r="Y689" s="97" t="str">
        <f t="array" ref="Y689">IFERROR(INDEX(DFD!$L$2:$L$1048790,MATCH($Q689,DFD!$B$2:$B$1048790,0)),"")</f>
        <v/>
      </c>
      <c r="Z689" s="97">
        <f t="shared" si="13"/>
        <v>45</v>
      </c>
      <c r="AA689" s="87"/>
      <c r="AB689" s="87" t="s">
        <v>78</v>
      </c>
      <c r="AC689" s="87"/>
      <c r="AD689" s="99">
        <v>46043.0</v>
      </c>
      <c r="AE689" s="100">
        <f t="shared" si="8"/>
        <v>1</v>
      </c>
    </row>
    <row r="690" ht="15.75" customHeight="1">
      <c r="A690" s="67" t="s">
        <v>2022</v>
      </c>
      <c r="B690" s="59" t="s">
        <v>184</v>
      </c>
      <c r="C690" s="60" t="s">
        <v>2023</v>
      </c>
      <c r="D690" s="60" t="s">
        <v>2021</v>
      </c>
      <c r="E690" s="60">
        <v>200.0</v>
      </c>
      <c r="F690" s="72">
        <v>6400.0</v>
      </c>
      <c r="G690" s="73" t="s">
        <v>53</v>
      </c>
      <c r="H690" s="74">
        <v>46204.0</v>
      </c>
      <c r="I690" s="67" t="s">
        <v>17</v>
      </c>
      <c r="J690" s="67" t="s">
        <v>54</v>
      </c>
      <c r="K690" s="67" t="s">
        <v>66</v>
      </c>
      <c r="L690" s="67" t="s">
        <v>67</v>
      </c>
      <c r="M690" s="73" t="s">
        <v>57</v>
      </c>
      <c r="N690" s="67" t="s">
        <v>20</v>
      </c>
      <c r="O690" s="59" t="s">
        <v>69</v>
      </c>
      <c r="P690" s="59"/>
      <c r="Q690" s="59" t="s">
        <v>1884</v>
      </c>
      <c r="R690" s="76" t="s">
        <v>269</v>
      </c>
      <c r="S690" s="59"/>
      <c r="T690" s="59"/>
      <c r="U690" s="77" t="str">
        <f t="array" ref="U690">IFERROR(INDEX(DFD!$D$2:$D$1048791,MATCH($Q690,DFD!$B$2:$B$1048791,0)),"")</f>
        <v/>
      </c>
      <c r="V690" s="77" t="str">
        <f t="array" ref="V690">IFERROR(INDEX(DFD!$F$2:$F$1048791,MATCH($Q690,DFD!$B$2:$B$1048791,0)),"")</f>
        <v/>
      </c>
      <c r="W690" s="84" t="str">
        <f t="array" ref="W690">IFERROR(INDEX(DFD!$E$2:$E$1048791,MATCH($Q690,DFD!$B$2:$B$1048791,0)),"")</f>
        <v/>
      </c>
      <c r="X690" s="84" t="str">
        <f t="array" ref="X690">IFERROR(INDEX(DFD!$K$2:$K$1048791,MATCH($Q690,DFD!$B$2:$B$1048791,0)),"")</f>
        <v/>
      </c>
      <c r="Y690" s="84" t="str">
        <f t="array" ref="Y690">IFERROR(INDEX(DFD!$L$2:$L$1048790,MATCH($Q690,DFD!$B$2:$B$1048790,0)),"")</f>
        <v/>
      </c>
      <c r="Z690" s="84">
        <f t="shared" si="13"/>
        <v>45</v>
      </c>
      <c r="AA690" s="59"/>
      <c r="AB690" s="59" t="s">
        <v>78</v>
      </c>
      <c r="AC690" s="59"/>
      <c r="AD690" s="85">
        <v>46043.0</v>
      </c>
      <c r="AE690" s="86">
        <f t="shared" si="8"/>
        <v>1</v>
      </c>
    </row>
    <row r="691" ht="15.75" customHeight="1">
      <c r="A691" s="92" t="s">
        <v>2024</v>
      </c>
      <c r="B691" s="87" t="s">
        <v>184</v>
      </c>
      <c r="C691" s="88" t="s">
        <v>2025</v>
      </c>
      <c r="D691" s="88" t="s">
        <v>51</v>
      </c>
      <c r="E691" s="88">
        <v>500.0</v>
      </c>
      <c r="F691" s="89">
        <v>37500.0</v>
      </c>
      <c r="G691" s="90" t="s">
        <v>53</v>
      </c>
      <c r="H691" s="91">
        <v>46235.0</v>
      </c>
      <c r="I691" s="92" t="s">
        <v>17</v>
      </c>
      <c r="J691" s="92" t="s">
        <v>54</v>
      </c>
      <c r="K691" s="92" t="s">
        <v>66</v>
      </c>
      <c r="L691" s="92" t="s">
        <v>67</v>
      </c>
      <c r="M691" s="90" t="s">
        <v>57</v>
      </c>
      <c r="N691" s="92" t="s">
        <v>20</v>
      </c>
      <c r="O691" s="87" t="s">
        <v>69</v>
      </c>
      <c r="P691" s="87"/>
      <c r="Q691" s="87" t="s">
        <v>2026</v>
      </c>
      <c r="R691" s="93" t="s">
        <v>71</v>
      </c>
      <c r="S691" s="87"/>
      <c r="T691" s="87"/>
      <c r="U691" s="94" t="str">
        <f t="array" ref="U691">IFERROR(INDEX(DFD!$D$2:$D$1048791,MATCH($Q691,DFD!$B$2:$B$1048791,0)),"")</f>
        <v/>
      </c>
      <c r="V691" s="94" t="str">
        <f t="array" ref="V691">IFERROR(INDEX(DFD!$F$2:$F$1048791,MATCH($Q691,DFD!$B$2:$B$1048791,0)),"")</f>
        <v/>
      </c>
      <c r="W691" s="97" t="str">
        <f t="array" ref="W691">IFERROR(INDEX(DFD!$E$2:$E$1048791,MATCH($Q691,DFD!$B$2:$B$1048791,0)),"")</f>
        <v/>
      </c>
      <c r="X691" s="97" t="str">
        <f t="array" ref="X691">IFERROR(INDEX(DFD!$K$2:$K$1048791,MATCH($Q691,DFD!$B$2:$B$1048791,0)),"")</f>
        <v/>
      </c>
      <c r="Y691" s="97" t="str">
        <f t="array" ref="Y691">IFERROR(INDEX(DFD!$L$2:$L$1048790,MATCH($Q691,DFD!$B$2:$B$1048790,0)),"")</f>
        <v/>
      </c>
      <c r="Z691" s="97">
        <f t="shared" si="13"/>
        <v>45</v>
      </c>
      <c r="AA691" s="87"/>
      <c r="AB691" s="87" t="s">
        <v>78</v>
      </c>
      <c r="AC691" s="87"/>
      <c r="AD691" s="99">
        <v>46043.0</v>
      </c>
      <c r="AE691" s="100">
        <f t="shared" si="8"/>
        <v>1</v>
      </c>
    </row>
    <row r="692" ht="15.75" customHeight="1">
      <c r="A692" s="67" t="s">
        <v>2027</v>
      </c>
      <c r="B692" s="59" t="s">
        <v>98</v>
      </c>
      <c r="C692" s="60" t="s">
        <v>2028</v>
      </c>
      <c r="D692" s="60" t="s">
        <v>914</v>
      </c>
      <c r="E692" s="60">
        <v>20.0</v>
      </c>
      <c r="F692" s="72">
        <v>1200.0</v>
      </c>
      <c r="G692" s="73" t="s">
        <v>53</v>
      </c>
      <c r="H692" s="74">
        <v>46174.0</v>
      </c>
      <c r="I692" s="67" t="s">
        <v>17</v>
      </c>
      <c r="J692" s="67" t="s">
        <v>54</v>
      </c>
      <c r="K692" s="67" t="s">
        <v>66</v>
      </c>
      <c r="L692" s="67" t="s">
        <v>67</v>
      </c>
      <c r="M692" s="73" t="s">
        <v>132</v>
      </c>
      <c r="N692" s="67" t="s">
        <v>20</v>
      </c>
      <c r="O692" s="67" t="s">
        <v>89</v>
      </c>
      <c r="P692" s="59"/>
      <c r="Q692" s="59">
        <v>2025.0</v>
      </c>
      <c r="R692" s="76" t="s">
        <v>71</v>
      </c>
      <c r="S692" s="59"/>
      <c r="T692" s="59"/>
      <c r="U692" s="77" t="s">
        <v>1161</v>
      </c>
      <c r="V692" s="59" t="s">
        <v>98</v>
      </c>
      <c r="W692" s="84" t="str">
        <f t="array" ref="W692">IFERROR(INDEX(DFD!$E$2:$E$1048791,MATCH($Q692,DFD!$B$2:$B$1048791,0)),"")</f>
        <v/>
      </c>
      <c r="X692" s="84" t="str">
        <f t="array" ref="X692">IFERROR(INDEX(DFD!$K$2:$K$1048791,MATCH($Q692,DFD!$B$2:$B$1048791,0)),"")</f>
        <v/>
      </c>
      <c r="Y692" s="84" t="str">
        <f t="array" ref="Y692">IFERROR(INDEX(DFD!$L$2:$L$1048790,MATCH($Q692,DFD!$B$2:$B$1048790,0)),"")</f>
        <v/>
      </c>
      <c r="Z692" s="84">
        <f t="shared" si="13"/>
        <v>45</v>
      </c>
      <c r="AA692" s="59"/>
      <c r="AB692" s="59" t="s">
        <v>78</v>
      </c>
      <c r="AC692" s="59"/>
      <c r="AD692" s="85">
        <v>46043.0</v>
      </c>
      <c r="AE692" s="86">
        <f t="shared" si="8"/>
        <v>1</v>
      </c>
    </row>
    <row r="693" ht="15.75" customHeight="1">
      <c r="A693" s="87" t="s">
        <v>2029</v>
      </c>
      <c r="B693" s="87" t="s">
        <v>95</v>
      </c>
      <c r="C693" s="88" t="s">
        <v>2028</v>
      </c>
      <c r="D693" s="88" t="s">
        <v>914</v>
      </c>
      <c r="E693" s="88">
        <v>10.0</v>
      </c>
      <c r="F693" s="89">
        <v>600.0</v>
      </c>
      <c r="G693" s="90" t="s">
        <v>53</v>
      </c>
      <c r="H693" s="91">
        <v>46174.0</v>
      </c>
      <c r="I693" s="92" t="s">
        <v>17</v>
      </c>
      <c r="J693" s="92" t="s">
        <v>54</v>
      </c>
      <c r="K693" s="92" t="s">
        <v>66</v>
      </c>
      <c r="L693" s="92" t="s">
        <v>67</v>
      </c>
      <c r="M693" s="90" t="s">
        <v>57</v>
      </c>
      <c r="N693" s="92" t="s">
        <v>5</v>
      </c>
      <c r="O693" s="87" t="s">
        <v>69</v>
      </c>
      <c r="P693" s="87"/>
      <c r="Q693" s="87">
        <v>2025.0</v>
      </c>
      <c r="R693" s="93" t="s">
        <v>71</v>
      </c>
      <c r="S693" s="87"/>
      <c r="T693" s="87"/>
      <c r="U693" s="94" t="s">
        <v>1161</v>
      </c>
      <c r="V693" s="87" t="s">
        <v>98</v>
      </c>
      <c r="W693" s="97" t="str">
        <f t="array" ref="W693">IFERROR(INDEX(DFD!$E$2:$E$1048791,MATCH($Q693,DFD!$B$2:$B$1048791,0)),"")</f>
        <v/>
      </c>
      <c r="X693" s="97" t="str">
        <f t="array" ref="X693">IFERROR(INDEX(DFD!$K$2:$K$1048791,MATCH($Q693,DFD!$B$2:$B$1048791,0)),"")</f>
        <v/>
      </c>
      <c r="Y693" s="97" t="str">
        <f t="array" ref="Y693">IFERROR(INDEX(DFD!$L$2:$L$1048790,MATCH($Q693,DFD!$B$2:$B$1048790,0)),"")</f>
        <v/>
      </c>
      <c r="Z693" s="97">
        <f t="shared" si="13"/>
        <v>45</v>
      </c>
      <c r="AA693" s="87"/>
      <c r="AB693" s="87" t="s">
        <v>78</v>
      </c>
      <c r="AC693" s="87"/>
      <c r="AD693" s="99">
        <v>46043.0</v>
      </c>
      <c r="AE693" s="100">
        <f t="shared" si="8"/>
        <v>1</v>
      </c>
    </row>
    <row r="694" ht="15.75" customHeight="1">
      <c r="A694" s="59" t="s">
        <v>2030</v>
      </c>
      <c r="B694" s="59" t="s">
        <v>98</v>
      </c>
      <c r="C694" s="60" t="s">
        <v>2031</v>
      </c>
      <c r="D694" s="60" t="s">
        <v>914</v>
      </c>
      <c r="E694" s="60">
        <v>20.0</v>
      </c>
      <c r="F694" s="72">
        <v>600.0</v>
      </c>
      <c r="G694" s="73" t="s">
        <v>53</v>
      </c>
      <c r="H694" s="74">
        <v>46174.0</v>
      </c>
      <c r="I694" s="67" t="s">
        <v>17</v>
      </c>
      <c r="J694" s="67" t="s">
        <v>54</v>
      </c>
      <c r="K694" s="67" t="s">
        <v>66</v>
      </c>
      <c r="L694" s="67" t="s">
        <v>67</v>
      </c>
      <c r="M694" s="73" t="s">
        <v>57</v>
      </c>
      <c r="N694" s="67" t="s">
        <v>5</v>
      </c>
      <c r="O694" s="59" t="s">
        <v>69</v>
      </c>
      <c r="P694" s="59"/>
      <c r="Q694" s="59" t="s">
        <v>2026</v>
      </c>
      <c r="R694" s="76" t="s">
        <v>71</v>
      </c>
      <c r="S694" s="59"/>
      <c r="T694" s="59"/>
      <c r="U694" s="77" t="str">
        <f t="array" ref="U694">IFERROR(INDEX(DFD!$D$2:$D$1048791,MATCH($Q694,DFD!$B$2:$B$1048791,0)),"")</f>
        <v/>
      </c>
      <c r="V694" s="77" t="str">
        <f t="array" ref="V694">IFERROR(INDEX(DFD!$F$2:$F$1048791,MATCH($Q694,DFD!$B$2:$B$1048791,0)),"")</f>
        <v/>
      </c>
      <c r="W694" s="84" t="str">
        <f t="array" ref="W694">IFERROR(INDEX(DFD!$E$2:$E$1048791,MATCH($Q694,DFD!$B$2:$B$1048791,0)),"")</f>
        <v/>
      </c>
      <c r="X694" s="84" t="str">
        <f t="array" ref="X694">IFERROR(INDEX(DFD!$K$2:$K$1048791,MATCH($Q694,DFD!$B$2:$B$1048791,0)),"")</f>
        <v/>
      </c>
      <c r="Y694" s="84" t="str">
        <f t="array" ref="Y694">IFERROR(INDEX(DFD!$L$2:$L$1048790,MATCH($Q694,DFD!$B$2:$B$1048790,0)),"")</f>
        <v/>
      </c>
      <c r="Z694" s="84">
        <f t="shared" si="13"/>
        <v>45</v>
      </c>
      <c r="AA694" s="59"/>
      <c r="AB694" s="59" t="s">
        <v>78</v>
      </c>
      <c r="AC694" s="59"/>
      <c r="AD694" s="85">
        <v>46043.0</v>
      </c>
      <c r="AE694" s="86">
        <f t="shared" si="8"/>
        <v>1</v>
      </c>
    </row>
    <row r="695" ht="15.75" customHeight="1">
      <c r="A695" s="87" t="s">
        <v>2032</v>
      </c>
      <c r="B695" s="87" t="s">
        <v>277</v>
      </c>
      <c r="C695" s="88" t="s">
        <v>2033</v>
      </c>
      <c r="D695" s="88" t="s">
        <v>51</v>
      </c>
      <c r="E695" s="88">
        <v>1.0</v>
      </c>
      <c r="F695" s="89">
        <v>30.0</v>
      </c>
      <c r="G695" s="90" t="s">
        <v>53</v>
      </c>
      <c r="H695" s="91">
        <v>46143.0</v>
      </c>
      <c r="I695" s="92" t="s">
        <v>17</v>
      </c>
      <c r="J695" s="92" t="s">
        <v>54</v>
      </c>
      <c r="K695" s="92" t="s">
        <v>66</v>
      </c>
      <c r="L695" s="92" t="s">
        <v>67</v>
      </c>
      <c r="M695" s="90" t="s">
        <v>117</v>
      </c>
      <c r="N695" s="92" t="s">
        <v>5</v>
      </c>
      <c r="O695" s="92" t="s">
        <v>89</v>
      </c>
      <c r="P695" s="87"/>
      <c r="Q695" s="87" t="s">
        <v>1884</v>
      </c>
      <c r="R695" s="93" t="s">
        <v>269</v>
      </c>
      <c r="S695" s="87"/>
      <c r="T695" s="87"/>
      <c r="U695" s="94" t="str">
        <f t="array" ref="U695">IFERROR(INDEX(DFD!$D$2:$D$1048791,MATCH($Q695,DFD!$B$2:$B$1048791,0)),"")</f>
        <v/>
      </c>
      <c r="V695" s="94" t="str">
        <f t="array" ref="V695">IFERROR(INDEX(DFD!$F$2:$F$1048791,MATCH($Q695,DFD!$B$2:$B$1048791,0)),"")</f>
        <v/>
      </c>
      <c r="W695" s="97" t="str">
        <f t="array" ref="W695">IFERROR(INDEX(DFD!$E$2:$E$1048791,MATCH($Q695,DFD!$B$2:$B$1048791,0)),"")</f>
        <v/>
      </c>
      <c r="X695" s="97" t="str">
        <f t="array" ref="X695">IFERROR(INDEX(DFD!$K$2:$K$1048791,MATCH($Q695,DFD!$B$2:$B$1048791,0)),"")</f>
        <v/>
      </c>
      <c r="Y695" s="97" t="str">
        <f t="array" ref="Y695">IFERROR(INDEX(DFD!$L$2:$L$1048790,MATCH($Q695,DFD!$B$2:$B$1048790,0)),"")</f>
        <v/>
      </c>
      <c r="Z695" s="97">
        <f t="shared" si="13"/>
        <v>45</v>
      </c>
      <c r="AA695" s="87"/>
      <c r="AB695" s="87" t="s">
        <v>78</v>
      </c>
      <c r="AC695" s="87"/>
      <c r="AD695" s="99">
        <v>46043.0</v>
      </c>
      <c r="AE695" s="100">
        <f t="shared" si="8"/>
        <v>1</v>
      </c>
    </row>
    <row r="696" ht="15.75" customHeight="1">
      <c r="A696" s="59" t="s">
        <v>2034</v>
      </c>
      <c r="B696" s="59" t="s">
        <v>355</v>
      </c>
      <c r="C696" s="60" t="s">
        <v>2035</v>
      </c>
      <c r="D696" s="60" t="s">
        <v>914</v>
      </c>
      <c r="E696" s="60">
        <v>40.0</v>
      </c>
      <c r="F696" s="72">
        <v>12000.0</v>
      </c>
      <c r="G696" s="73" t="s">
        <v>53</v>
      </c>
      <c r="H696" s="74">
        <v>46235.0</v>
      </c>
      <c r="I696" s="67" t="s">
        <v>17</v>
      </c>
      <c r="J696" s="67" t="s">
        <v>54</v>
      </c>
      <c r="K696" s="67" t="s">
        <v>66</v>
      </c>
      <c r="L696" s="67" t="s">
        <v>56</v>
      </c>
      <c r="M696" s="73" t="s">
        <v>132</v>
      </c>
      <c r="N696" s="67" t="s">
        <v>58</v>
      </c>
      <c r="O696" s="59" t="s">
        <v>69</v>
      </c>
      <c r="P696" s="59"/>
      <c r="Q696" s="59" t="s">
        <v>52</v>
      </c>
      <c r="R696" s="76" t="s">
        <v>71</v>
      </c>
      <c r="S696" s="59"/>
      <c r="T696" s="59"/>
      <c r="U696" s="77" t="str">
        <f t="array" ref="U696">IFERROR(INDEX(DFD!$D$2:$D$1048791,MATCH($Q696,DFD!$B$2:$B$1048791,0)),"")</f>
        <v/>
      </c>
      <c r="V696" s="77" t="str">
        <f t="array" ref="V696">IFERROR(INDEX(DFD!$F$2:$F$1048791,MATCH($Q696,DFD!$B$2:$B$1048791,0)),"")</f>
        <v/>
      </c>
      <c r="W696" s="84" t="str">
        <f t="array" ref="W696">IFERROR(INDEX(DFD!$E$2:$E$1048791,MATCH($Q696,DFD!$B$2:$B$1048791,0)),"")</f>
        <v/>
      </c>
      <c r="X696" s="84" t="str">
        <f t="array" ref="X696">IFERROR(INDEX(DFD!$K$2:$K$1048791,MATCH($Q696,DFD!$B$2:$B$1048791,0)),"")</f>
        <v/>
      </c>
      <c r="Y696" s="84" t="str">
        <f t="array" ref="Y696">IFERROR(INDEX(DFD!$L$2:$L$1048790,MATCH($Q696,DFD!$B$2:$B$1048790,0)),"")</f>
        <v/>
      </c>
      <c r="Z696" s="84">
        <f t="shared" si="13"/>
        <v>45</v>
      </c>
      <c r="AA696" s="59"/>
      <c r="AB696" s="59" t="s">
        <v>72</v>
      </c>
      <c r="AC696" s="59"/>
      <c r="AD696" s="85">
        <v>46043.0</v>
      </c>
      <c r="AE696" s="86">
        <f t="shared" si="8"/>
        <v>1</v>
      </c>
    </row>
    <row r="697" ht="15.75" customHeight="1">
      <c r="A697" s="92" t="s">
        <v>2036</v>
      </c>
      <c r="B697" s="87" t="s">
        <v>184</v>
      </c>
      <c r="C697" s="88" t="s">
        <v>2037</v>
      </c>
      <c r="D697" s="88" t="s">
        <v>51</v>
      </c>
      <c r="E697" s="88">
        <v>200.0</v>
      </c>
      <c r="F697" s="89">
        <v>3800.0</v>
      </c>
      <c r="G697" s="90" t="s">
        <v>53</v>
      </c>
      <c r="H697" s="91">
        <v>46174.0</v>
      </c>
      <c r="I697" s="92" t="s">
        <v>17</v>
      </c>
      <c r="J697" s="92" t="s">
        <v>54</v>
      </c>
      <c r="K697" s="92" t="s">
        <v>66</v>
      </c>
      <c r="L697" s="92" t="s">
        <v>67</v>
      </c>
      <c r="M697" s="90" t="s">
        <v>57</v>
      </c>
      <c r="N697" s="92" t="s">
        <v>20</v>
      </c>
      <c r="O697" s="87" t="s">
        <v>69</v>
      </c>
      <c r="P697" s="87"/>
      <c r="Q697" s="87" t="s">
        <v>1399</v>
      </c>
      <c r="R697" s="93" t="s">
        <v>187</v>
      </c>
      <c r="S697" s="87"/>
      <c r="T697" s="87"/>
      <c r="U697" s="94" t="str">
        <f t="array" ref="U697">IFERROR(INDEX(DFD!$D$2:$D$1048791,MATCH($Q697,DFD!$B$2:$B$1048791,0)),"")</f>
        <v/>
      </c>
      <c r="V697" s="94" t="str">
        <f t="array" ref="V697">IFERROR(INDEX(DFD!$F$2:$F$1048791,MATCH($Q697,DFD!$B$2:$B$1048791,0)),"")</f>
        <v/>
      </c>
      <c r="W697" s="97" t="str">
        <f t="array" ref="W697">IFERROR(INDEX(DFD!$E$2:$E$1048791,MATCH($Q697,DFD!$B$2:$B$1048791,0)),"")</f>
        <v/>
      </c>
      <c r="X697" s="97" t="str">
        <f t="array" ref="X697">IFERROR(INDEX(DFD!$K$2:$K$1048791,MATCH($Q697,DFD!$B$2:$B$1048791,0)),"")</f>
        <v/>
      </c>
      <c r="Y697" s="97" t="str">
        <f t="array" ref="Y697">IFERROR(INDEX(DFD!$L$2:$L$1048790,MATCH($Q697,DFD!$B$2:$B$1048790,0)),"")</f>
        <v/>
      </c>
      <c r="Z697" s="97">
        <f t="shared" si="13"/>
        <v>45</v>
      </c>
      <c r="AA697" s="87"/>
      <c r="AB697" s="87" t="s">
        <v>78</v>
      </c>
      <c r="AC697" s="87"/>
      <c r="AD697" s="99">
        <v>46043.0</v>
      </c>
      <c r="AE697" s="100">
        <f t="shared" si="8"/>
        <v>1</v>
      </c>
    </row>
    <row r="698" ht="15.75" customHeight="1">
      <c r="A698" s="59" t="s">
        <v>2038</v>
      </c>
      <c r="B698" s="59" t="s">
        <v>91</v>
      </c>
      <c r="C698" s="60" t="s">
        <v>2039</v>
      </c>
      <c r="D698" s="60" t="s">
        <v>914</v>
      </c>
      <c r="E698" s="60">
        <v>30.0</v>
      </c>
      <c r="F698" s="72">
        <v>1000.0</v>
      </c>
      <c r="G698" s="73" t="s">
        <v>53</v>
      </c>
      <c r="H698" s="74">
        <v>46174.0</v>
      </c>
      <c r="I698" s="67" t="s">
        <v>17</v>
      </c>
      <c r="J698" s="67" t="s">
        <v>54</v>
      </c>
      <c r="K698" s="67" t="s">
        <v>66</v>
      </c>
      <c r="L698" s="67" t="s">
        <v>67</v>
      </c>
      <c r="M698" s="73" t="s">
        <v>57</v>
      </c>
      <c r="N698" s="67" t="s">
        <v>20</v>
      </c>
      <c r="O698" s="67" t="s">
        <v>89</v>
      </c>
      <c r="P698" s="59"/>
      <c r="Q698" s="59" t="s">
        <v>2026</v>
      </c>
      <c r="R698" s="76" t="s">
        <v>71</v>
      </c>
      <c r="S698" s="59"/>
      <c r="T698" s="59"/>
      <c r="U698" s="77" t="str">
        <f t="array" ref="U698">IFERROR(INDEX(DFD!$D$2:$D$1048791,MATCH($Q698,DFD!$B$2:$B$1048791,0)),"")</f>
        <v/>
      </c>
      <c r="V698" s="77" t="str">
        <f t="array" ref="V698">IFERROR(INDEX(DFD!$F$2:$F$1048791,MATCH($Q698,DFD!$B$2:$B$1048791,0)),"")</f>
        <v/>
      </c>
      <c r="W698" s="84" t="str">
        <f t="array" ref="W698">IFERROR(INDEX(DFD!$E$2:$E$1048791,MATCH($Q698,DFD!$B$2:$B$1048791,0)),"")</f>
        <v/>
      </c>
      <c r="X698" s="84" t="str">
        <f t="array" ref="X698">IFERROR(INDEX(DFD!$K$2:$K$1048791,MATCH($Q698,DFD!$B$2:$B$1048791,0)),"")</f>
        <v/>
      </c>
      <c r="Y698" s="84" t="str">
        <f t="array" ref="Y698">IFERROR(INDEX(DFD!$L$2:$L$1048790,MATCH($Q698,DFD!$B$2:$B$1048790,0)),"")</f>
        <v/>
      </c>
      <c r="Z698" s="84">
        <f t="shared" si="13"/>
        <v>45</v>
      </c>
      <c r="AA698" s="59"/>
      <c r="AB698" s="59" t="s">
        <v>78</v>
      </c>
      <c r="AC698" s="59"/>
      <c r="AD698" s="85">
        <v>46043.0</v>
      </c>
      <c r="AE698" s="86">
        <f t="shared" si="8"/>
        <v>1</v>
      </c>
    </row>
    <row r="699" ht="15.75" customHeight="1">
      <c r="A699" s="87" t="s">
        <v>2040</v>
      </c>
      <c r="B699" s="87" t="s">
        <v>95</v>
      </c>
      <c r="C699" s="88" t="s">
        <v>2039</v>
      </c>
      <c r="D699" s="88" t="s">
        <v>2041</v>
      </c>
      <c r="E699" s="88">
        <v>30.0</v>
      </c>
      <c r="F699" s="89">
        <v>1000.0</v>
      </c>
      <c r="G699" s="90" t="s">
        <v>53</v>
      </c>
      <c r="H699" s="91">
        <v>46174.0</v>
      </c>
      <c r="I699" s="92" t="s">
        <v>17</v>
      </c>
      <c r="J699" s="92" t="s">
        <v>54</v>
      </c>
      <c r="K699" s="92" t="s">
        <v>66</v>
      </c>
      <c r="L699" s="92" t="s">
        <v>67</v>
      </c>
      <c r="M699" s="90" t="s">
        <v>57</v>
      </c>
      <c r="N699" s="92" t="s">
        <v>20</v>
      </c>
      <c r="O699" s="87" t="s">
        <v>69</v>
      </c>
      <c r="P699" s="87"/>
      <c r="Q699" s="87" t="s">
        <v>2026</v>
      </c>
      <c r="R699" s="93" t="s">
        <v>71</v>
      </c>
      <c r="S699" s="87"/>
      <c r="T699" s="87"/>
      <c r="U699" s="94" t="str">
        <f t="array" ref="U699">IFERROR(INDEX(DFD!$D$2:$D$1048791,MATCH($Q699,DFD!$B$2:$B$1048791,0)),"")</f>
        <v/>
      </c>
      <c r="V699" s="94" t="str">
        <f t="array" ref="V699">IFERROR(INDEX(DFD!$F$2:$F$1048791,MATCH($Q699,DFD!$B$2:$B$1048791,0)),"")</f>
        <v/>
      </c>
      <c r="W699" s="97" t="str">
        <f t="array" ref="W699">IFERROR(INDEX(DFD!$E$2:$E$1048791,MATCH($Q699,DFD!$B$2:$B$1048791,0)),"")</f>
        <v/>
      </c>
      <c r="X699" s="97" t="str">
        <f t="array" ref="X699">IFERROR(INDEX(DFD!$K$2:$K$1048791,MATCH($Q699,DFD!$B$2:$B$1048791,0)),"")</f>
        <v/>
      </c>
      <c r="Y699" s="97" t="str">
        <f t="array" ref="Y699">IFERROR(INDEX(DFD!$L$2:$L$1048790,MATCH($Q699,DFD!$B$2:$B$1048790,0)),"")</f>
        <v/>
      </c>
      <c r="Z699" s="97">
        <f t="shared" si="13"/>
        <v>45</v>
      </c>
      <c r="AA699" s="87"/>
      <c r="AB699" s="87" t="s">
        <v>78</v>
      </c>
      <c r="AC699" s="87"/>
      <c r="AD699" s="99">
        <v>46043.0</v>
      </c>
      <c r="AE699" s="100">
        <f t="shared" si="8"/>
        <v>1</v>
      </c>
    </row>
    <row r="700" ht="15.75" customHeight="1">
      <c r="A700" s="67" t="s">
        <v>2042</v>
      </c>
      <c r="B700" s="71" t="s">
        <v>184</v>
      </c>
      <c r="C700" s="60" t="s">
        <v>2043</v>
      </c>
      <c r="D700" s="81" t="s">
        <v>51</v>
      </c>
      <c r="E700" s="81">
        <v>500.0</v>
      </c>
      <c r="F700" s="101">
        <v>238500.0</v>
      </c>
      <c r="G700" s="73" t="s">
        <v>53</v>
      </c>
      <c r="H700" s="83">
        <v>46266.0</v>
      </c>
      <c r="I700" s="67" t="s">
        <v>17</v>
      </c>
      <c r="J700" s="67" t="s">
        <v>54</v>
      </c>
      <c r="K700" s="67" t="s">
        <v>499</v>
      </c>
      <c r="L700" s="67" t="s">
        <v>56</v>
      </c>
      <c r="M700" s="73" t="s">
        <v>104</v>
      </c>
      <c r="N700" s="67" t="s">
        <v>20</v>
      </c>
      <c r="O700" s="59" t="s">
        <v>69</v>
      </c>
      <c r="P700" s="59"/>
      <c r="Q700" s="59" t="s">
        <v>2018</v>
      </c>
      <c r="R700" s="76" t="s">
        <v>71</v>
      </c>
      <c r="S700" s="59"/>
      <c r="T700" s="59"/>
      <c r="U700" s="77" t="str">
        <f t="array" ref="U700">IFERROR(INDEX(DFD!$D$2:$D$1048791,MATCH($Q700,DFD!$B$2:$B$1048791,0)),"")</f>
        <v/>
      </c>
      <c r="V700" s="77" t="s">
        <v>280</v>
      </c>
      <c r="W700" s="84" t="str">
        <f t="array" ref="W700">IFERROR(INDEX(DFD!$E$2:$E$1048791,MATCH($Q700,DFD!$B$2:$B$1048791,0)),"")</f>
        <v/>
      </c>
      <c r="X700" s="84" t="str">
        <f t="array" ref="X700">IFERROR(INDEX(DFD!$K$2:$K$1048791,MATCH($Q700,DFD!$B$2:$B$1048791,0)),"")</f>
        <v/>
      </c>
      <c r="Y700" s="84" t="str">
        <f t="array" ref="Y700">IFERROR(INDEX(DFD!$L$2:$L$1048790,MATCH($Q700,DFD!$B$2:$B$1048790,0)),"")</f>
        <v/>
      </c>
      <c r="Z700" s="84">
        <f t="shared" si="13"/>
        <v>45</v>
      </c>
      <c r="AA700" s="59"/>
      <c r="AB700" s="59" t="s">
        <v>78</v>
      </c>
      <c r="AC700" s="59"/>
      <c r="AD700" s="85">
        <v>46043.0</v>
      </c>
      <c r="AE700" s="86">
        <f t="shared" si="8"/>
        <v>1</v>
      </c>
    </row>
    <row r="701" ht="15.75" customHeight="1">
      <c r="A701" s="87" t="s">
        <v>2044</v>
      </c>
      <c r="B701" s="87" t="s">
        <v>98</v>
      </c>
      <c r="C701" s="88" t="s">
        <v>2045</v>
      </c>
      <c r="D701" s="88" t="s">
        <v>51</v>
      </c>
      <c r="E701" s="88">
        <v>4.0</v>
      </c>
      <c r="F701" s="89">
        <v>200.0</v>
      </c>
      <c r="G701" s="90" t="s">
        <v>53</v>
      </c>
      <c r="H701" s="91">
        <v>46143.0</v>
      </c>
      <c r="I701" s="92" t="s">
        <v>17</v>
      </c>
      <c r="J701" s="92" t="s">
        <v>54</v>
      </c>
      <c r="K701" s="92" t="s">
        <v>66</v>
      </c>
      <c r="L701" s="92" t="s">
        <v>67</v>
      </c>
      <c r="M701" s="90" t="s">
        <v>57</v>
      </c>
      <c r="N701" s="92" t="s">
        <v>5</v>
      </c>
      <c r="O701" s="92" t="s">
        <v>89</v>
      </c>
      <c r="P701" s="87"/>
      <c r="Q701" s="87" t="s">
        <v>1884</v>
      </c>
      <c r="R701" s="93" t="s">
        <v>71</v>
      </c>
      <c r="S701" s="87"/>
      <c r="T701" s="87"/>
      <c r="U701" s="94" t="str">
        <f t="array" ref="U701">IFERROR(INDEX(DFD!$D$2:$D$1048791,MATCH($Q701,DFD!$B$2:$B$1048791,0)),"")</f>
        <v/>
      </c>
      <c r="V701" s="94" t="str">
        <f t="array" ref="V701">IFERROR(INDEX(DFD!$F$2:$F$1048791,MATCH($Q701,DFD!$B$2:$B$1048791,0)),"")</f>
        <v/>
      </c>
      <c r="W701" s="97" t="str">
        <f t="array" ref="W701">IFERROR(INDEX(DFD!$E$2:$E$1048791,MATCH($Q701,DFD!$B$2:$B$1048791,0)),"")</f>
        <v/>
      </c>
      <c r="X701" s="97" t="str">
        <f t="array" ref="X701">IFERROR(INDEX(DFD!$K$2:$K$1048791,MATCH($Q701,DFD!$B$2:$B$1048791,0)),"")</f>
        <v/>
      </c>
      <c r="Y701" s="97" t="str">
        <f t="array" ref="Y701">IFERROR(INDEX(DFD!$L$2:$L$1048790,MATCH($Q701,DFD!$B$2:$B$1048790,0)),"")</f>
        <v/>
      </c>
      <c r="Z701" s="97">
        <f t="shared" si="13"/>
        <v>45</v>
      </c>
      <c r="AA701" s="87"/>
      <c r="AB701" s="87" t="s">
        <v>78</v>
      </c>
      <c r="AC701" s="87"/>
      <c r="AD701" s="99">
        <v>46043.0</v>
      </c>
      <c r="AE701" s="100">
        <f t="shared" si="8"/>
        <v>1</v>
      </c>
    </row>
    <row r="702" ht="15.75" customHeight="1">
      <c r="A702" s="59" t="s">
        <v>2046</v>
      </c>
      <c r="B702" s="59" t="s">
        <v>92</v>
      </c>
      <c r="C702" s="60" t="s">
        <v>2045</v>
      </c>
      <c r="D702" s="60" t="s">
        <v>51</v>
      </c>
      <c r="E702" s="60">
        <v>2.0</v>
      </c>
      <c r="F702" s="72">
        <v>100.0</v>
      </c>
      <c r="G702" s="73" t="s">
        <v>53</v>
      </c>
      <c r="H702" s="74">
        <v>46143.0</v>
      </c>
      <c r="I702" s="67" t="s">
        <v>17</v>
      </c>
      <c r="J702" s="67" t="s">
        <v>54</v>
      </c>
      <c r="K702" s="67" t="s">
        <v>66</v>
      </c>
      <c r="L702" s="67" t="s">
        <v>67</v>
      </c>
      <c r="M702" s="73" t="s">
        <v>117</v>
      </c>
      <c r="N702" s="67" t="s">
        <v>5</v>
      </c>
      <c r="O702" s="59" t="s">
        <v>69</v>
      </c>
      <c r="P702" s="59"/>
      <c r="Q702" s="59" t="s">
        <v>1884</v>
      </c>
      <c r="R702" s="76" t="s">
        <v>71</v>
      </c>
      <c r="S702" s="59"/>
      <c r="T702" s="59"/>
      <c r="U702" s="77" t="str">
        <f t="array" ref="U702">IFERROR(INDEX(DFD!$D$2:$D$1048791,MATCH($Q702,DFD!$B$2:$B$1048791,0)),"")</f>
        <v/>
      </c>
      <c r="V702" s="77" t="str">
        <f t="array" ref="V702">IFERROR(INDEX(DFD!$F$2:$F$1048791,MATCH($Q702,DFD!$B$2:$B$1048791,0)),"")</f>
        <v/>
      </c>
      <c r="W702" s="84" t="str">
        <f t="array" ref="W702">IFERROR(INDEX(DFD!$E$2:$E$1048791,MATCH($Q702,DFD!$B$2:$B$1048791,0)),"")</f>
        <v/>
      </c>
      <c r="X702" s="84" t="str">
        <f t="array" ref="X702">IFERROR(INDEX(DFD!$K$2:$K$1048791,MATCH($Q702,DFD!$B$2:$B$1048791,0)),"")</f>
        <v/>
      </c>
      <c r="Y702" s="84" t="str">
        <f t="array" ref="Y702">IFERROR(INDEX(DFD!$L$2:$L$1048790,MATCH($Q702,DFD!$B$2:$B$1048790,0)),"")</f>
        <v/>
      </c>
      <c r="Z702" s="84">
        <f t="shared" si="13"/>
        <v>45</v>
      </c>
      <c r="AA702" s="59"/>
      <c r="AB702" s="59" t="s">
        <v>78</v>
      </c>
      <c r="AC702" s="59"/>
      <c r="AD702" s="85">
        <v>46043.0</v>
      </c>
      <c r="AE702" s="86">
        <f t="shared" si="8"/>
        <v>1</v>
      </c>
    </row>
    <row r="703" ht="15.75" customHeight="1">
      <c r="A703" s="87" t="s">
        <v>2047</v>
      </c>
      <c r="B703" s="71" t="s">
        <v>101</v>
      </c>
      <c r="C703" s="88" t="s">
        <v>2048</v>
      </c>
      <c r="D703" s="88" t="s">
        <v>51</v>
      </c>
      <c r="E703" s="88">
        <v>3.0</v>
      </c>
      <c r="F703" s="89">
        <v>18360.0</v>
      </c>
      <c r="G703" s="90" t="s">
        <v>53</v>
      </c>
      <c r="H703" s="91">
        <v>46235.0</v>
      </c>
      <c r="I703" s="92" t="s">
        <v>17</v>
      </c>
      <c r="J703" s="92" t="s">
        <v>54</v>
      </c>
      <c r="K703" s="92" t="s">
        <v>66</v>
      </c>
      <c r="L703" s="92" t="s">
        <v>56</v>
      </c>
      <c r="M703" s="90" t="s">
        <v>167</v>
      </c>
      <c r="N703" s="92" t="s">
        <v>58</v>
      </c>
      <c r="O703" s="87" t="s">
        <v>69</v>
      </c>
      <c r="P703" s="87"/>
      <c r="Q703" s="87" t="s">
        <v>2049</v>
      </c>
      <c r="R703" s="93" t="s">
        <v>71</v>
      </c>
      <c r="S703" s="87"/>
      <c r="T703" s="87"/>
      <c r="U703" s="94" t="s">
        <v>668</v>
      </c>
      <c r="V703" s="94" t="s">
        <v>280</v>
      </c>
      <c r="W703" s="97" t="str">
        <f t="array" ref="W703">IFERROR(INDEX(DFD!$E$2:$E$1048791,MATCH($Q703,DFD!$B$2:$B$1048791,0)),"")</f>
        <v/>
      </c>
      <c r="X703" s="97" t="str">
        <f t="array" ref="X703">IFERROR(INDEX(DFD!$K$2:$K$1048791,MATCH($Q703,DFD!$B$2:$B$1048791,0)),"")</f>
        <v/>
      </c>
      <c r="Y703" s="97" t="str">
        <f t="array" ref="Y703">IFERROR(INDEX(DFD!$L$2:$L$1048790,MATCH($Q703,DFD!$B$2:$B$1048790,0)),"")</f>
        <v/>
      </c>
      <c r="Z703" s="97">
        <f t="shared" si="13"/>
        <v>45</v>
      </c>
      <c r="AA703" s="87"/>
      <c r="AB703" s="87" t="s">
        <v>78</v>
      </c>
      <c r="AC703" s="87"/>
      <c r="AD703" s="99">
        <v>46043.0</v>
      </c>
      <c r="AE703" s="100">
        <f t="shared" si="8"/>
        <v>1</v>
      </c>
    </row>
    <row r="704" ht="15.75" customHeight="1">
      <c r="A704" s="59" t="s">
        <v>2050</v>
      </c>
      <c r="B704" s="59" t="s">
        <v>98</v>
      </c>
      <c r="C704" s="60" t="s">
        <v>2051</v>
      </c>
      <c r="D704" s="60" t="s">
        <v>51</v>
      </c>
      <c r="E704" s="60">
        <v>1.0</v>
      </c>
      <c r="F704" s="72">
        <v>2500.0</v>
      </c>
      <c r="G704" s="73" t="s">
        <v>53</v>
      </c>
      <c r="H704" s="74">
        <v>46174.0</v>
      </c>
      <c r="I704" s="67" t="s">
        <v>17</v>
      </c>
      <c r="J704" s="67" t="s">
        <v>54</v>
      </c>
      <c r="K704" s="67" t="s">
        <v>66</v>
      </c>
      <c r="L704" s="67" t="s">
        <v>67</v>
      </c>
      <c r="M704" s="73" t="s">
        <v>117</v>
      </c>
      <c r="N704" s="67" t="s">
        <v>5</v>
      </c>
      <c r="O704" s="67" t="s">
        <v>89</v>
      </c>
      <c r="P704" s="59"/>
      <c r="Q704" s="59" t="s">
        <v>715</v>
      </c>
      <c r="R704" s="76" t="s">
        <v>269</v>
      </c>
      <c r="S704" s="59"/>
      <c r="T704" s="59"/>
      <c r="U704" s="77" t="str">
        <f t="array" ref="U704">IFERROR(INDEX(DFD!$D$2:$D$1048791,MATCH($Q704,DFD!$B$2:$B$1048791,0)),"")</f>
        <v/>
      </c>
      <c r="V704" s="77" t="str">
        <f t="array" ref="V704">IFERROR(INDEX(DFD!$F$2:$F$1048791,MATCH($Q704,DFD!$B$2:$B$1048791,0)),"")</f>
        <v/>
      </c>
      <c r="W704" s="84" t="str">
        <f t="array" ref="W704">IFERROR(INDEX(DFD!$E$2:$E$1048791,MATCH($Q704,DFD!$B$2:$B$1048791,0)),"")</f>
        <v/>
      </c>
      <c r="X704" s="84" t="str">
        <f t="array" ref="X704">IFERROR(INDEX(DFD!$K$2:$K$1048791,MATCH($Q704,DFD!$B$2:$B$1048791,0)),"")</f>
        <v/>
      </c>
      <c r="Y704" s="84" t="str">
        <f t="array" ref="Y704">IFERROR(INDEX(DFD!$L$2:$L$1048790,MATCH($Q704,DFD!$B$2:$B$1048790,0)),"")</f>
        <v/>
      </c>
      <c r="Z704" s="84">
        <f t="shared" si="13"/>
        <v>45</v>
      </c>
      <c r="AA704" s="59"/>
      <c r="AB704" s="59" t="s">
        <v>78</v>
      </c>
      <c r="AC704" s="59"/>
      <c r="AD704" s="85">
        <v>46043.0</v>
      </c>
      <c r="AE704" s="86">
        <f t="shared" si="8"/>
        <v>1</v>
      </c>
    </row>
    <row r="705" ht="15.75" customHeight="1">
      <c r="A705" s="87" t="s">
        <v>2052</v>
      </c>
      <c r="B705" s="87" t="s">
        <v>101</v>
      </c>
      <c r="C705" s="88" t="s">
        <v>2053</v>
      </c>
      <c r="D705" s="88" t="s">
        <v>51</v>
      </c>
      <c r="E705" s="88">
        <v>8.0</v>
      </c>
      <c r="F705" s="89">
        <v>32000.0</v>
      </c>
      <c r="G705" s="90" t="s">
        <v>53</v>
      </c>
      <c r="H705" s="91">
        <v>46235.0</v>
      </c>
      <c r="I705" s="92" t="s">
        <v>17</v>
      </c>
      <c r="J705" s="92" t="s">
        <v>54</v>
      </c>
      <c r="K705" s="92" t="s">
        <v>66</v>
      </c>
      <c r="L705" s="92" t="s">
        <v>56</v>
      </c>
      <c r="M705" s="90" t="s">
        <v>112</v>
      </c>
      <c r="N705" s="92" t="s">
        <v>58</v>
      </c>
      <c r="O705" s="87" t="s">
        <v>69</v>
      </c>
      <c r="P705" s="87"/>
      <c r="Q705" s="87" t="s">
        <v>2049</v>
      </c>
      <c r="R705" s="93" t="s">
        <v>71</v>
      </c>
      <c r="S705" s="87"/>
      <c r="T705" s="87"/>
      <c r="U705" s="94" t="s">
        <v>668</v>
      </c>
      <c r="V705" s="94" t="s">
        <v>280</v>
      </c>
      <c r="W705" s="97" t="str">
        <f t="array" ref="W705">IFERROR(INDEX(DFD!$E$2:$E$1048791,MATCH($Q705,DFD!$B$2:$B$1048791,0)),"")</f>
        <v/>
      </c>
      <c r="X705" s="97" t="str">
        <f t="array" ref="X705">IFERROR(INDEX(DFD!$K$2:$K$1048791,MATCH($Q705,DFD!$B$2:$B$1048791,0)),"")</f>
        <v/>
      </c>
      <c r="Y705" s="97" t="str">
        <f t="array" ref="Y705">IFERROR(INDEX(DFD!$L$2:$L$1048790,MATCH($Q705,DFD!$B$2:$B$1048790,0)),"")</f>
        <v/>
      </c>
      <c r="Z705" s="97">
        <f t="shared" si="13"/>
        <v>45</v>
      </c>
      <c r="AA705" s="87"/>
      <c r="AB705" s="87" t="s">
        <v>78</v>
      </c>
      <c r="AC705" s="87"/>
      <c r="AD705" s="99">
        <v>46043.0</v>
      </c>
      <c r="AE705" s="100">
        <f t="shared" si="8"/>
        <v>1</v>
      </c>
    </row>
    <row r="706" ht="15.75" customHeight="1">
      <c r="A706" s="59" t="s">
        <v>2054</v>
      </c>
      <c r="B706" s="59" t="s">
        <v>101</v>
      </c>
      <c r="C706" s="60" t="s">
        <v>2055</v>
      </c>
      <c r="D706" s="60" t="s">
        <v>51</v>
      </c>
      <c r="E706" s="60">
        <v>14.0</v>
      </c>
      <c r="F706" s="72">
        <v>30240.0</v>
      </c>
      <c r="G706" s="73" t="s">
        <v>53</v>
      </c>
      <c r="H706" s="74">
        <v>46235.0</v>
      </c>
      <c r="I706" s="67" t="s">
        <v>17</v>
      </c>
      <c r="J706" s="67" t="s">
        <v>54</v>
      </c>
      <c r="K706" s="67" t="s">
        <v>66</v>
      </c>
      <c r="L706" s="67" t="s">
        <v>56</v>
      </c>
      <c r="M706" s="73" t="s">
        <v>132</v>
      </c>
      <c r="N706" s="67" t="s">
        <v>58</v>
      </c>
      <c r="O706" s="59" t="s">
        <v>69</v>
      </c>
      <c r="P706" s="59"/>
      <c r="Q706" s="59" t="s">
        <v>2049</v>
      </c>
      <c r="R706" s="76" t="s">
        <v>71</v>
      </c>
      <c r="S706" s="59"/>
      <c r="T706" s="59"/>
      <c r="U706" s="77" t="s">
        <v>668</v>
      </c>
      <c r="V706" s="77" t="s">
        <v>280</v>
      </c>
      <c r="W706" s="84" t="str">
        <f t="array" ref="W706">IFERROR(INDEX(DFD!$E$2:$E$1048791,MATCH($Q706,DFD!$B$2:$B$1048791,0)),"")</f>
        <v/>
      </c>
      <c r="X706" s="84" t="str">
        <f t="array" ref="X706">IFERROR(INDEX(DFD!$K$2:$K$1048791,MATCH($Q706,DFD!$B$2:$B$1048791,0)),"")</f>
        <v/>
      </c>
      <c r="Y706" s="84" t="str">
        <f t="array" ref="Y706">IFERROR(INDEX(DFD!$L$2:$L$1048790,MATCH($Q706,DFD!$B$2:$B$1048790,0)),"")</f>
        <v/>
      </c>
      <c r="Z706" s="84">
        <f t="shared" si="13"/>
        <v>45</v>
      </c>
      <c r="AA706" s="59"/>
      <c r="AB706" s="59" t="s">
        <v>78</v>
      </c>
      <c r="AC706" s="59"/>
      <c r="AD706" s="85">
        <v>46043.0</v>
      </c>
      <c r="AE706" s="86">
        <f t="shared" si="8"/>
        <v>1</v>
      </c>
    </row>
    <row r="707" ht="15.75" customHeight="1">
      <c r="A707" s="87" t="s">
        <v>2056</v>
      </c>
      <c r="B707" s="87" t="s">
        <v>355</v>
      </c>
      <c r="C707" s="88" t="s">
        <v>2055</v>
      </c>
      <c r="D707" s="88" t="s">
        <v>51</v>
      </c>
      <c r="E707" s="88">
        <v>2.0</v>
      </c>
      <c r="F707" s="89">
        <v>4320.0</v>
      </c>
      <c r="G707" s="90" t="s">
        <v>53</v>
      </c>
      <c r="H707" s="91">
        <v>46204.0</v>
      </c>
      <c r="I707" s="92" t="s">
        <v>17</v>
      </c>
      <c r="J707" s="92" t="s">
        <v>54</v>
      </c>
      <c r="K707" s="92" t="s">
        <v>66</v>
      </c>
      <c r="L707" s="92" t="s">
        <v>56</v>
      </c>
      <c r="M707" s="90" t="s">
        <v>104</v>
      </c>
      <c r="N707" s="92" t="s">
        <v>58</v>
      </c>
      <c r="O707" s="92" t="s">
        <v>89</v>
      </c>
      <c r="P707" s="87"/>
      <c r="Q707" s="87" t="s">
        <v>52</v>
      </c>
      <c r="R707" s="93" t="s">
        <v>71</v>
      </c>
      <c r="S707" s="87"/>
      <c r="T707" s="87"/>
      <c r="U707" s="94" t="str">
        <f t="array" ref="U707">IFERROR(INDEX(DFD!$D$2:$D$1048791,MATCH($Q707,DFD!$B$2:$B$1048791,0)),"")</f>
        <v/>
      </c>
      <c r="V707" s="94" t="str">
        <f t="array" ref="V707">IFERROR(INDEX(DFD!$F$2:$F$1048791,MATCH($Q707,DFD!$B$2:$B$1048791,0)),"")</f>
        <v/>
      </c>
      <c r="W707" s="97" t="str">
        <f t="array" ref="W707">IFERROR(INDEX(DFD!$E$2:$E$1048791,MATCH($Q707,DFD!$B$2:$B$1048791,0)),"")</f>
        <v/>
      </c>
      <c r="X707" s="97" t="str">
        <f t="array" ref="X707">IFERROR(INDEX(DFD!$K$2:$K$1048791,MATCH($Q707,DFD!$B$2:$B$1048791,0)),"")</f>
        <v/>
      </c>
      <c r="Y707" s="97" t="str">
        <f t="array" ref="Y707">IFERROR(INDEX(DFD!$L$2:$L$1048790,MATCH($Q707,DFD!$B$2:$B$1048790,0)),"")</f>
        <v/>
      </c>
      <c r="Z707" s="97">
        <f t="shared" si="13"/>
        <v>45</v>
      </c>
      <c r="AA707" s="87"/>
      <c r="AB707" s="87" t="s">
        <v>72</v>
      </c>
      <c r="AC707" s="87"/>
      <c r="AD707" s="99">
        <v>46043.0</v>
      </c>
      <c r="AE707" s="100">
        <f t="shared" si="8"/>
        <v>1</v>
      </c>
    </row>
    <row r="708" ht="15.75" customHeight="1">
      <c r="A708" s="59" t="s">
        <v>2057</v>
      </c>
      <c r="B708" s="59" t="s">
        <v>355</v>
      </c>
      <c r="C708" s="60" t="s">
        <v>2058</v>
      </c>
      <c r="D708" s="60" t="s">
        <v>51</v>
      </c>
      <c r="E708" s="60">
        <v>2.0</v>
      </c>
      <c r="F708" s="72">
        <v>12000.0</v>
      </c>
      <c r="G708" s="73" t="s">
        <v>53</v>
      </c>
      <c r="H708" s="74">
        <v>46235.0</v>
      </c>
      <c r="I708" s="67" t="s">
        <v>17</v>
      </c>
      <c r="J708" s="67" t="s">
        <v>54</v>
      </c>
      <c r="K708" s="67" t="s">
        <v>66</v>
      </c>
      <c r="L708" s="67" t="s">
        <v>56</v>
      </c>
      <c r="M708" s="73" t="s">
        <v>132</v>
      </c>
      <c r="N708" s="67" t="s">
        <v>58</v>
      </c>
      <c r="O708" s="59" t="s">
        <v>69</v>
      </c>
      <c r="P708" s="59"/>
      <c r="Q708" s="59" t="s">
        <v>52</v>
      </c>
      <c r="R708" s="76" t="s">
        <v>71</v>
      </c>
      <c r="S708" s="59"/>
      <c r="T708" s="59"/>
      <c r="U708" s="77" t="str">
        <f t="array" ref="U708">IFERROR(INDEX(DFD!$D$2:$D$1048791,MATCH($Q708,DFD!$B$2:$B$1048791,0)),"")</f>
        <v/>
      </c>
      <c r="V708" s="77" t="str">
        <f t="array" ref="V708">IFERROR(INDEX(DFD!$F$2:$F$1048791,MATCH($Q708,DFD!$B$2:$B$1048791,0)),"")</f>
        <v/>
      </c>
      <c r="W708" s="84" t="str">
        <f t="array" ref="W708">IFERROR(INDEX(DFD!$E$2:$E$1048791,MATCH($Q708,DFD!$B$2:$B$1048791,0)),"")</f>
        <v/>
      </c>
      <c r="X708" s="84" t="str">
        <f t="array" ref="X708">IFERROR(INDEX(DFD!$K$2:$K$1048791,MATCH($Q708,DFD!$B$2:$B$1048791,0)),"")</f>
        <v/>
      </c>
      <c r="Y708" s="84" t="str">
        <f t="array" ref="Y708">IFERROR(INDEX(DFD!$L$2:$L$1048790,MATCH($Q708,DFD!$B$2:$B$1048790,0)),"")</f>
        <v/>
      </c>
      <c r="Z708" s="84">
        <f t="shared" si="13"/>
        <v>45</v>
      </c>
      <c r="AA708" s="59"/>
      <c r="AB708" s="59" t="s">
        <v>72</v>
      </c>
      <c r="AC708" s="59"/>
      <c r="AD708" s="85">
        <v>46043.0</v>
      </c>
      <c r="AE708" s="86">
        <f t="shared" si="8"/>
        <v>1</v>
      </c>
    </row>
    <row r="709" ht="15.75" customHeight="1">
      <c r="A709" s="92" t="s">
        <v>2059</v>
      </c>
      <c r="B709" s="87" t="s">
        <v>91</v>
      </c>
      <c r="C709" s="88" t="s">
        <v>2060</v>
      </c>
      <c r="D709" s="88" t="s">
        <v>51</v>
      </c>
      <c r="E709" s="88">
        <v>5.0</v>
      </c>
      <c r="F709" s="89">
        <v>1000.0</v>
      </c>
      <c r="G709" s="90" t="s">
        <v>53</v>
      </c>
      <c r="H709" s="91">
        <v>46174.0</v>
      </c>
      <c r="I709" s="92" t="s">
        <v>17</v>
      </c>
      <c r="J709" s="92" t="s">
        <v>54</v>
      </c>
      <c r="K709" s="92" t="s">
        <v>66</v>
      </c>
      <c r="L709" s="92" t="s">
        <v>67</v>
      </c>
      <c r="M709" s="90" t="s">
        <v>57</v>
      </c>
      <c r="N709" s="92" t="s">
        <v>20</v>
      </c>
      <c r="O709" s="87" t="s">
        <v>69</v>
      </c>
      <c r="P709" s="87"/>
      <c r="Q709" s="87">
        <v>2025.0</v>
      </c>
      <c r="R709" s="93" t="s">
        <v>71</v>
      </c>
      <c r="S709" s="87"/>
      <c r="T709" s="87"/>
      <c r="U709" s="97" t="s">
        <v>1161</v>
      </c>
      <c r="V709" s="87" t="s">
        <v>98</v>
      </c>
      <c r="W709" s="97" t="str">
        <f t="array" ref="W709">IFERROR(INDEX(DFD!$E$2:$E$1048791,MATCH($Q709,DFD!$B$2:$B$1048791,0)),"")</f>
        <v/>
      </c>
      <c r="X709" s="97" t="str">
        <f t="array" ref="X709">IFERROR(INDEX(DFD!$K$2:$K$1048791,MATCH($Q709,DFD!$B$2:$B$1048791,0)),"")</f>
        <v/>
      </c>
      <c r="Y709" s="97" t="str">
        <f t="array" ref="Y709">IFERROR(INDEX(DFD!$L$2:$L$1048790,MATCH($Q709,DFD!$B$2:$B$1048790,0)),"")</f>
        <v/>
      </c>
      <c r="Z709" s="97">
        <f t="shared" si="13"/>
        <v>45</v>
      </c>
      <c r="AA709" s="87"/>
      <c r="AB709" s="87" t="s">
        <v>78</v>
      </c>
      <c r="AC709" s="87"/>
      <c r="AD709" s="99">
        <v>46043.0</v>
      </c>
      <c r="AE709" s="100">
        <f t="shared" si="8"/>
        <v>1</v>
      </c>
    </row>
    <row r="710" ht="15.75" customHeight="1">
      <c r="A710" s="59" t="s">
        <v>2061</v>
      </c>
      <c r="B710" s="59" t="s">
        <v>64</v>
      </c>
      <c r="C710" s="60" t="s">
        <v>2062</v>
      </c>
      <c r="D710" s="60" t="s">
        <v>51</v>
      </c>
      <c r="E710" s="60">
        <v>8.0</v>
      </c>
      <c r="F710" s="72">
        <f>1600+67314.7</f>
        <v>68914.7</v>
      </c>
      <c r="G710" s="73" t="s">
        <v>53</v>
      </c>
      <c r="H710" s="74">
        <v>46174.0</v>
      </c>
      <c r="I710" s="67" t="s">
        <v>17</v>
      </c>
      <c r="J710" s="67" t="s">
        <v>54</v>
      </c>
      <c r="K710" s="67" t="s">
        <v>66</v>
      </c>
      <c r="L710" s="67" t="s">
        <v>67</v>
      </c>
      <c r="M710" s="73" t="s">
        <v>112</v>
      </c>
      <c r="N710" s="67" t="s">
        <v>5</v>
      </c>
      <c r="O710" s="67" t="s">
        <v>89</v>
      </c>
      <c r="P710" s="59"/>
      <c r="Q710" s="59">
        <v>2025.0</v>
      </c>
      <c r="R710" s="76" t="s">
        <v>71</v>
      </c>
      <c r="S710" s="59"/>
      <c r="T710" s="59"/>
      <c r="U710" s="77" t="s">
        <v>1161</v>
      </c>
      <c r="V710" s="59" t="s">
        <v>98</v>
      </c>
      <c r="W710" s="84" t="str">
        <f t="array" ref="W710">IFERROR(INDEX(DFD!$E$2:$E$1048791,MATCH($Q710,DFD!$B$2:$B$1048791,0)),"")</f>
        <v/>
      </c>
      <c r="X710" s="84" t="str">
        <f t="array" ref="X710">IFERROR(INDEX(DFD!$K$2:$K$1048791,MATCH($Q710,DFD!$B$2:$B$1048791,0)),"")</f>
        <v/>
      </c>
      <c r="Y710" s="84" t="str">
        <f t="array" ref="Y710">IFERROR(INDEX(DFD!$L$2:$L$1048790,MATCH($Q710,DFD!$B$2:$B$1048790,0)),"")</f>
        <v/>
      </c>
      <c r="Z710" s="84">
        <f t="shared" si="13"/>
        <v>45</v>
      </c>
      <c r="AA710" s="59"/>
      <c r="AB710" s="59" t="s">
        <v>78</v>
      </c>
      <c r="AC710" s="59"/>
      <c r="AD710" s="85">
        <v>46043.0</v>
      </c>
      <c r="AE710" s="86">
        <f t="shared" si="8"/>
        <v>1</v>
      </c>
    </row>
    <row r="711" ht="15.75" customHeight="1">
      <c r="A711" s="92" t="s">
        <v>2063</v>
      </c>
      <c r="B711" s="87" t="s">
        <v>87</v>
      </c>
      <c r="C711" s="88" t="s">
        <v>2062</v>
      </c>
      <c r="D711" s="88" t="s">
        <v>51</v>
      </c>
      <c r="E711" s="88">
        <v>5.0</v>
      </c>
      <c r="F711" s="89">
        <v>1000.0</v>
      </c>
      <c r="G711" s="90" t="s">
        <v>53</v>
      </c>
      <c r="H711" s="91">
        <v>46174.0</v>
      </c>
      <c r="I711" s="92" t="s">
        <v>17</v>
      </c>
      <c r="J711" s="92" t="s">
        <v>54</v>
      </c>
      <c r="K711" s="92" t="s">
        <v>66</v>
      </c>
      <c r="L711" s="92" t="s">
        <v>67</v>
      </c>
      <c r="M711" s="90" t="s">
        <v>68</v>
      </c>
      <c r="N711" s="92" t="s">
        <v>20</v>
      </c>
      <c r="O711" s="87" t="s">
        <v>69</v>
      </c>
      <c r="P711" s="87"/>
      <c r="Q711" s="87">
        <v>2025.0</v>
      </c>
      <c r="R711" s="93" t="s">
        <v>71</v>
      </c>
      <c r="S711" s="87"/>
      <c r="T711" s="87"/>
      <c r="U711" s="94" t="s">
        <v>1161</v>
      </c>
      <c r="V711" s="87" t="s">
        <v>98</v>
      </c>
      <c r="W711" s="97" t="str">
        <f t="array" ref="W711">IFERROR(INDEX(DFD!$E$2:$E$1048791,MATCH($Q711,DFD!$B$2:$B$1048791,0)),"")</f>
        <v/>
      </c>
      <c r="X711" s="97" t="str">
        <f t="array" ref="X711">IFERROR(INDEX(DFD!$K$2:$K$1048791,MATCH($Q711,DFD!$B$2:$B$1048791,0)),"")</f>
        <v/>
      </c>
      <c r="Y711" s="97" t="str">
        <f t="array" ref="Y711">IFERROR(INDEX(DFD!$L$2:$L$1048790,MATCH($Q711,DFD!$B$2:$B$1048790,0)),"")</f>
        <v/>
      </c>
      <c r="Z711" s="97">
        <f t="shared" si="13"/>
        <v>45</v>
      </c>
      <c r="AA711" s="87"/>
      <c r="AB711" s="87" t="s">
        <v>78</v>
      </c>
      <c r="AC711" s="87"/>
      <c r="AD711" s="99">
        <v>46043.0</v>
      </c>
      <c r="AE711" s="100">
        <f t="shared" si="8"/>
        <v>1</v>
      </c>
    </row>
    <row r="712" ht="15.75" customHeight="1">
      <c r="A712" s="59" t="s">
        <v>2064</v>
      </c>
      <c r="B712" s="59" t="s">
        <v>94</v>
      </c>
      <c r="C712" s="60" t="s">
        <v>2062</v>
      </c>
      <c r="D712" s="60" t="s">
        <v>51</v>
      </c>
      <c r="E712" s="60">
        <v>4.0</v>
      </c>
      <c r="F712" s="72">
        <v>800.0</v>
      </c>
      <c r="G712" s="73" t="s">
        <v>53</v>
      </c>
      <c r="H712" s="74">
        <v>46174.0</v>
      </c>
      <c r="I712" s="67" t="s">
        <v>17</v>
      </c>
      <c r="J712" s="67" t="s">
        <v>54</v>
      </c>
      <c r="K712" s="67" t="s">
        <v>66</v>
      </c>
      <c r="L712" s="67" t="s">
        <v>67</v>
      </c>
      <c r="M712" s="73" t="s">
        <v>112</v>
      </c>
      <c r="N712" s="67" t="s">
        <v>5</v>
      </c>
      <c r="O712" s="59" t="s">
        <v>69</v>
      </c>
      <c r="P712" s="59"/>
      <c r="Q712" s="59">
        <v>2025.0</v>
      </c>
      <c r="R712" s="76" t="s">
        <v>71</v>
      </c>
      <c r="S712" s="59"/>
      <c r="T712" s="59"/>
      <c r="U712" s="77" t="s">
        <v>1161</v>
      </c>
      <c r="V712" s="59" t="s">
        <v>98</v>
      </c>
      <c r="W712" s="84" t="str">
        <f t="array" ref="W712">IFERROR(INDEX(DFD!$E$2:$E$1048791,MATCH($Q712,DFD!$B$2:$B$1048791,0)),"")</f>
        <v/>
      </c>
      <c r="X712" s="84" t="str">
        <f t="array" ref="X712">IFERROR(INDEX(DFD!$K$2:$K$1048791,MATCH($Q712,DFD!$B$2:$B$1048791,0)),"")</f>
        <v/>
      </c>
      <c r="Y712" s="84" t="str">
        <f t="array" ref="Y712">IFERROR(INDEX(DFD!$L$2:$L$1048790,MATCH($Q712,DFD!$B$2:$B$1048790,0)),"")</f>
        <v/>
      </c>
      <c r="Z712" s="84">
        <f t="shared" si="13"/>
        <v>45</v>
      </c>
      <c r="AA712" s="59"/>
      <c r="AB712" s="59" t="s">
        <v>78</v>
      </c>
      <c r="AC712" s="59"/>
      <c r="AD712" s="85">
        <v>46043.0</v>
      </c>
      <c r="AE712" s="86">
        <f t="shared" si="8"/>
        <v>1</v>
      </c>
    </row>
    <row r="713" ht="15.75" customHeight="1">
      <c r="A713" s="87" t="s">
        <v>2065</v>
      </c>
      <c r="B713" s="87" t="s">
        <v>171</v>
      </c>
      <c r="C713" s="88" t="s">
        <v>2062</v>
      </c>
      <c r="D713" s="88" t="s">
        <v>51</v>
      </c>
      <c r="E713" s="88">
        <v>3.0</v>
      </c>
      <c r="F713" s="89">
        <v>600.0</v>
      </c>
      <c r="G713" s="90" t="s">
        <v>53</v>
      </c>
      <c r="H713" s="91">
        <v>46174.0</v>
      </c>
      <c r="I713" s="92" t="s">
        <v>17</v>
      </c>
      <c r="J713" s="92" t="s">
        <v>54</v>
      </c>
      <c r="K713" s="92" t="s">
        <v>66</v>
      </c>
      <c r="L713" s="92" t="s">
        <v>67</v>
      </c>
      <c r="M713" s="90" t="s">
        <v>112</v>
      </c>
      <c r="N713" s="92" t="s">
        <v>5</v>
      </c>
      <c r="O713" s="92" t="s">
        <v>89</v>
      </c>
      <c r="P713" s="87"/>
      <c r="Q713" s="87">
        <v>2025.0</v>
      </c>
      <c r="R713" s="93" t="s">
        <v>71</v>
      </c>
      <c r="S713" s="87"/>
      <c r="T713" s="87"/>
      <c r="U713" s="94" t="s">
        <v>1161</v>
      </c>
      <c r="V713" s="87" t="s">
        <v>98</v>
      </c>
      <c r="W713" s="97" t="str">
        <f t="array" ref="W713">IFERROR(INDEX(DFD!$E$2:$E$1048791,MATCH($Q713,DFD!$B$2:$B$1048791,0)),"")</f>
        <v/>
      </c>
      <c r="X713" s="97" t="str">
        <f t="array" ref="X713">IFERROR(INDEX(DFD!$K$2:$K$1048791,MATCH($Q713,DFD!$B$2:$B$1048791,0)),"")</f>
        <v/>
      </c>
      <c r="Y713" s="97" t="str">
        <f t="array" ref="Y713">IFERROR(INDEX(DFD!$L$2:$L$1048790,MATCH($Q713,DFD!$B$2:$B$1048790,0)),"")</f>
        <v/>
      </c>
      <c r="Z713" s="97">
        <f t="shared" si="13"/>
        <v>45</v>
      </c>
      <c r="AA713" s="87"/>
      <c r="AB713" s="87" t="s">
        <v>78</v>
      </c>
      <c r="AC713" s="87"/>
      <c r="AD713" s="99">
        <v>46043.0</v>
      </c>
      <c r="AE713" s="100">
        <f t="shared" si="8"/>
        <v>1</v>
      </c>
    </row>
    <row r="714" ht="15.75" customHeight="1">
      <c r="A714" s="59" t="s">
        <v>2066</v>
      </c>
      <c r="B714" s="59" t="s">
        <v>95</v>
      </c>
      <c r="C714" s="60" t="s">
        <v>2062</v>
      </c>
      <c r="D714" s="60" t="s">
        <v>51</v>
      </c>
      <c r="E714" s="60">
        <v>2.0</v>
      </c>
      <c r="F714" s="72">
        <v>400.0</v>
      </c>
      <c r="G714" s="73" t="s">
        <v>53</v>
      </c>
      <c r="H714" s="74">
        <v>46174.0</v>
      </c>
      <c r="I714" s="67" t="s">
        <v>17</v>
      </c>
      <c r="J714" s="67" t="s">
        <v>54</v>
      </c>
      <c r="K714" s="67" t="s">
        <v>66</v>
      </c>
      <c r="L714" s="67" t="s">
        <v>67</v>
      </c>
      <c r="M714" s="76" t="s">
        <v>71</v>
      </c>
      <c r="N714" s="67" t="s">
        <v>5</v>
      </c>
      <c r="O714" s="59" t="s">
        <v>69</v>
      </c>
      <c r="P714" s="59"/>
      <c r="Q714" s="59">
        <v>2025.0</v>
      </c>
      <c r="R714" s="76" t="s">
        <v>71</v>
      </c>
      <c r="S714" s="59"/>
      <c r="T714" s="59"/>
      <c r="U714" s="77" t="s">
        <v>1161</v>
      </c>
      <c r="V714" s="59" t="s">
        <v>98</v>
      </c>
      <c r="W714" s="84" t="str">
        <f t="array" ref="W714">IFERROR(INDEX(DFD!$E$2:$E$1048791,MATCH($Q714,DFD!$B$2:$B$1048791,0)),"")</f>
        <v/>
      </c>
      <c r="X714" s="84" t="str">
        <f t="array" ref="X714">IFERROR(INDEX(DFD!$K$2:$K$1048791,MATCH($Q714,DFD!$B$2:$B$1048791,0)),"")</f>
        <v/>
      </c>
      <c r="Y714" s="84" t="str">
        <f t="array" ref="Y714">IFERROR(INDEX(DFD!$L$2:$L$1048790,MATCH($Q714,DFD!$B$2:$B$1048790,0)),"")</f>
        <v/>
      </c>
      <c r="Z714" s="84">
        <f t="shared" si="13"/>
        <v>45</v>
      </c>
      <c r="AA714" s="59"/>
      <c r="AB714" s="59" t="s">
        <v>78</v>
      </c>
      <c r="AC714" s="59"/>
      <c r="AD714" s="85">
        <v>46043.0</v>
      </c>
      <c r="AE714" s="86">
        <f t="shared" si="8"/>
        <v>1</v>
      </c>
    </row>
    <row r="715" ht="15.75" customHeight="1">
      <c r="A715" s="87" t="s">
        <v>2067</v>
      </c>
      <c r="B715" s="87" t="s">
        <v>101</v>
      </c>
      <c r="C715" s="88" t="s">
        <v>2068</v>
      </c>
      <c r="D715" s="88" t="s">
        <v>51</v>
      </c>
      <c r="E715" s="88">
        <v>20.0</v>
      </c>
      <c r="F715" s="89">
        <v>1200.0</v>
      </c>
      <c r="G715" s="90" t="s">
        <v>53</v>
      </c>
      <c r="H715" s="91">
        <v>46174.0</v>
      </c>
      <c r="I715" s="92" t="s">
        <v>17</v>
      </c>
      <c r="J715" s="92" t="s">
        <v>54</v>
      </c>
      <c r="K715" s="92" t="s">
        <v>66</v>
      </c>
      <c r="L715" s="92" t="s">
        <v>56</v>
      </c>
      <c r="M715" s="90" t="s">
        <v>167</v>
      </c>
      <c r="N715" s="92" t="s">
        <v>58</v>
      </c>
      <c r="O715" s="87" t="s">
        <v>69</v>
      </c>
      <c r="P715" s="87"/>
      <c r="Q715" s="87" t="s">
        <v>275</v>
      </c>
      <c r="R715" s="93" t="s">
        <v>71</v>
      </c>
      <c r="S715" s="87"/>
      <c r="T715" s="87"/>
      <c r="U715" s="94" t="str">
        <f t="array" ref="U715">IFERROR(INDEX(DFD!$D$2:$D$1048791,MATCH($Q715,DFD!$B$2:$B$1048791,0)),"")</f>
        <v/>
      </c>
      <c r="V715" s="94" t="str">
        <f t="array" ref="V715">IFERROR(INDEX(DFD!$F$2:$F$1048791,MATCH($Q715,DFD!$B$2:$B$1048791,0)),"")</f>
        <v/>
      </c>
      <c r="W715" s="97" t="str">
        <f t="array" ref="W715">IFERROR(INDEX(DFD!$E$2:$E$1048791,MATCH($Q715,DFD!$B$2:$B$1048791,0)),"")</f>
        <v/>
      </c>
      <c r="X715" s="97" t="str">
        <f t="array" ref="X715">IFERROR(INDEX(DFD!$K$2:$K$1048791,MATCH($Q715,DFD!$B$2:$B$1048791,0)),"")</f>
        <v/>
      </c>
      <c r="Y715" s="97" t="str">
        <f t="array" ref="Y715">IFERROR(INDEX(DFD!$L$2:$L$1048790,MATCH($Q715,DFD!$B$2:$B$1048790,0)),"")</f>
        <v/>
      </c>
      <c r="Z715" s="97">
        <f t="shared" si="13"/>
        <v>45</v>
      </c>
      <c r="AA715" s="87"/>
      <c r="AB715" s="87" t="s">
        <v>78</v>
      </c>
      <c r="AC715" s="87"/>
      <c r="AD715" s="99">
        <v>46043.0</v>
      </c>
      <c r="AE715" s="100">
        <f t="shared" si="8"/>
        <v>1</v>
      </c>
    </row>
    <row r="716" ht="15.75" customHeight="1">
      <c r="A716" s="67" t="s">
        <v>2069</v>
      </c>
      <c r="B716" s="71" t="s">
        <v>184</v>
      </c>
      <c r="C716" s="60" t="s">
        <v>2070</v>
      </c>
      <c r="D716" s="60" t="s">
        <v>51</v>
      </c>
      <c r="E716" s="60">
        <v>50.0</v>
      </c>
      <c r="F716" s="72">
        <v>8049.5</v>
      </c>
      <c r="G716" s="73" t="s">
        <v>53</v>
      </c>
      <c r="H716" s="74">
        <v>46204.0</v>
      </c>
      <c r="I716" s="67" t="s">
        <v>17</v>
      </c>
      <c r="J716" s="67" t="s">
        <v>54</v>
      </c>
      <c r="K716" s="67" t="s">
        <v>66</v>
      </c>
      <c r="L716" s="67" t="s">
        <v>67</v>
      </c>
      <c r="M716" s="73" t="s">
        <v>112</v>
      </c>
      <c r="N716" s="67" t="s">
        <v>20</v>
      </c>
      <c r="O716" s="67" t="s">
        <v>89</v>
      </c>
      <c r="P716" s="59"/>
      <c r="Q716" s="59" t="s">
        <v>2071</v>
      </c>
      <c r="R716" s="76" t="s">
        <v>71</v>
      </c>
      <c r="S716" s="59"/>
      <c r="T716" s="59"/>
      <c r="U716" s="77" t="str">
        <f t="array" ref="U716">IFERROR(INDEX(DFD!$D$2:$D$1048791,MATCH($Q716,DFD!$B$2:$B$1048791,0)),"")</f>
        <v/>
      </c>
      <c r="V716" s="77" t="s">
        <v>280</v>
      </c>
      <c r="W716" s="84" t="str">
        <f t="array" ref="W716">IFERROR(INDEX(DFD!$E$2:$E$1048791,MATCH($Q716,DFD!$B$2:$B$1048791,0)),"")</f>
        <v/>
      </c>
      <c r="X716" s="84" t="str">
        <f t="array" ref="X716">IFERROR(INDEX(DFD!$K$2:$K$1048791,MATCH($Q716,DFD!$B$2:$B$1048791,0)),"")</f>
        <v/>
      </c>
      <c r="Y716" s="84" t="str">
        <f t="array" ref="Y716">IFERROR(INDEX(DFD!$L$2:$L$1048790,MATCH($Q716,DFD!$B$2:$B$1048790,0)),"")</f>
        <v/>
      </c>
      <c r="Z716" s="84">
        <f t="shared" si="13"/>
        <v>45</v>
      </c>
      <c r="AA716" s="59"/>
      <c r="AB716" s="59" t="s">
        <v>78</v>
      </c>
      <c r="AC716" s="59"/>
      <c r="AD716" s="85">
        <v>46043.0</v>
      </c>
      <c r="AE716" s="86">
        <f t="shared" si="8"/>
        <v>1</v>
      </c>
    </row>
    <row r="717" ht="15.75" customHeight="1">
      <c r="A717" s="92" t="s">
        <v>2072</v>
      </c>
      <c r="B717" s="87" t="s">
        <v>172</v>
      </c>
      <c r="C717" s="88" t="s">
        <v>2073</v>
      </c>
      <c r="D717" s="88" t="s">
        <v>51</v>
      </c>
      <c r="E717" s="88">
        <v>1.0</v>
      </c>
      <c r="F717" s="89">
        <v>1400.0</v>
      </c>
      <c r="G717" s="90" t="s">
        <v>53</v>
      </c>
      <c r="H717" s="91">
        <v>46174.0</v>
      </c>
      <c r="I717" s="92" t="s">
        <v>17</v>
      </c>
      <c r="J717" s="92" t="s">
        <v>54</v>
      </c>
      <c r="K717" s="92" t="s">
        <v>499</v>
      </c>
      <c r="L717" s="92" t="s">
        <v>56</v>
      </c>
      <c r="M717" s="90" t="s">
        <v>117</v>
      </c>
      <c r="N717" s="92" t="s">
        <v>20</v>
      </c>
      <c r="O717" s="87" t="s">
        <v>69</v>
      </c>
      <c r="P717" s="87"/>
      <c r="Q717" s="87" t="s">
        <v>2074</v>
      </c>
      <c r="R717" s="93" t="s">
        <v>736</v>
      </c>
      <c r="S717" s="87"/>
      <c r="T717" s="87"/>
      <c r="U717" s="94" t="str">
        <f t="array" ref="U717">IFERROR(INDEX(DFD!$D$2:$D$1048791,MATCH($Q717,DFD!$B$2:$B$1048791,0)),"")</f>
        <v/>
      </c>
      <c r="V717" s="94" t="str">
        <f t="array" ref="V717">IFERROR(INDEX(DFD!$F$2:$F$1048791,MATCH($Q717,DFD!$B$2:$B$1048791,0)),"")</f>
        <v/>
      </c>
      <c r="W717" s="97" t="str">
        <f t="array" ref="W717">IFERROR(INDEX(DFD!$E$2:$E$1048791,MATCH($Q717,DFD!$B$2:$B$1048791,0)),"")</f>
        <v/>
      </c>
      <c r="X717" s="97" t="str">
        <f t="array" ref="X717">IFERROR(INDEX(DFD!$K$2:$K$1048791,MATCH($Q717,DFD!$B$2:$B$1048791,0)),"")</f>
        <v/>
      </c>
      <c r="Y717" s="97" t="str">
        <f t="array" ref="Y717">IFERROR(INDEX(DFD!$L$2:$L$1048790,MATCH($Q717,DFD!$B$2:$B$1048790,0)),"")</f>
        <v/>
      </c>
      <c r="Z717" s="97">
        <f t="shared" si="13"/>
        <v>45</v>
      </c>
      <c r="AA717" s="87"/>
      <c r="AB717" s="87" t="s">
        <v>78</v>
      </c>
      <c r="AC717" s="87"/>
      <c r="AD717" s="99">
        <v>46043.0</v>
      </c>
      <c r="AE717" s="100">
        <f t="shared" si="8"/>
        <v>1</v>
      </c>
    </row>
    <row r="718" ht="15.75" customHeight="1">
      <c r="A718" s="67" t="s">
        <v>2075</v>
      </c>
      <c r="B718" s="59" t="s">
        <v>80</v>
      </c>
      <c r="C718" s="60" t="s">
        <v>2073</v>
      </c>
      <c r="D718" s="60" t="s">
        <v>51</v>
      </c>
      <c r="E718" s="60">
        <v>1.0</v>
      </c>
      <c r="F718" s="72">
        <v>1400.0</v>
      </c>
      <c r="G718" s="73" t="s">
        <v>53</v>
      </c>
      <c r="H718" s="74">
        <v>46174.0</v>
      </c>
      <c r="I718" s="67" t="s">
        <v>17</v>
      </c>
      <c r="J718" s="67" t="s">
        <v>54</v>
      </c>
      <c r="K718" s="67" t="s">
        <v>499</v>
      </c>
      <c r="L718" s="67" t="s">
        <v>56</v>
      </c>
      <c r="M718" s="73" t="s">
        <v>117</v>
      </c>
      <c r="N718" s="67" t="s">
        <v>20</v>
      </c>
      <c r="O718" s="59" t="s">
        <v>69</v>
      </c>
      <c r="P718" s="59"/>
      <c r="Q718" s="59" t="s">
        <v>2074</v>
      </c>
      <c r="R718" s="76" t="s">
        <v>736</v>
      </c>
      <c r="S718" s="59"/>
      <c r="T718" s="59"/>
      <c r="U718" s="77" t="str">
        <f t="array" ref="U718">IFERROR(INDEX(DFD!$D$2:$D$1048791,MATCH($Q718,DFD!$B$2:$B$1048791,0)),"")</f>
        <v/>
      </c>
      <c r="V718" s="77" t="str">
        <f t="array" ref="V718">IFERROR(INDEX(DFD!$F$2:$F$1048791,MATCH($Q718,DFD!$B$2:$B$1048791,0)),"")</f>
        <v/>
      </c>
      <c r="W718" s="84" t="str">
        <f t="array" ref="W718">IFERROR(INDEX(DFD!$E$2:$E$1048791,MATCH($Q718,DFD!$B$2:$B$1048791,0)),"")</f>
        <v/>
      </c>
      <c r="X718" s="84" t="str">
        <f t="array" ref="X718">IFERROR(INDEX(DFD!$K$2:$K$1048791,MATCH($Q718,DFD!$B$2:$B$1048791,0)),"")</f>
        <v/>
      </c>
      <c r="Y718" s="84" t="str">
        <f t="array" ref="Y718">IFERROR(INDEX(DFD!$L$2:$L$1048790,MATCH($Q718,DFD!$B$2:$B$1048790,0)),"")</f>
        <v/>
      </c>
      <c r="Z718" s="84">
        <f t="shared" si="13"/>
        <v>45</v>
      </c>
      <c r="AA718" s="59"/>
      <c r="AB718" s="59" t="s">
        <v>78</v>
      </c>
      <c r="AC718" s="59"/>
      <c r="AD718" s="85">
        <v>46043.0</v>
      </c>
      <c r="AE718" s="86">
        <f t="shared" si="8"/>
        <v>1</v>
      </c>
    </row>
    <row r="719" ht="15.75" customHeight="1">
      <c r="A719" s="92" t="s">
        <v>2076</v>
      </c>
      <c r="B719" s="71" t="s">
        <v>123</v>
      </c>
      <c r="C719" s="88" t="s">
        <v>2073</v>
      </c>
      <c r="D719" s="88" t="s">
        <v>51</v>
      </c>
      <c r="E719" s="88">
        <v>1.0</v>
      </c>
      <c r="F719" s="89">
        <v>1400.0</v>
      </c>
      <c r="G719" s="90" t="s">
        <v>53</v>
      </c>
      <c r="H719" s="91">
        <v>46174.0</v>
      </c>
      <c r="I719" s="92" t="s">
        <v>17</v>
      </c>
      <c r="J719" s="92" t="s">
        <v>54</v>
      </c>
      <c r="K719" s="92" t="s">
        <v>499</v>
      </c>
      <c r="L719" s="92" t="s">
        <v>56</v>
      </c>
      <c r="M719" s="90" t="s">
        <v>117</v>
      </c>
      <c r="N719" s="92" t="s">
        <v>20</v>
      </c>
      <c r="O719" s="92" t="s">
        <v>89</v>
      </c>
      <c r="P719" s="87"/>
      <c r="Q719" s="87" t="s">
        <v>2074</v>
      </c>
      <c r="R719" s="93" t="s">
        <v>736</v>
      </c>
      <c r="S719" s="87"/>
      <c r="T719" s="87"/>
      <c r="U719" s="94" t="str">
        <f t="array" ref="U719">IFERROR(INDEX(DFD!$D$2:$D$1048791,MATCH($Q719,DFD!$B$2:$B$1048791,0)),"")</f>
        <v/>
      </c>
      <c r="V719" s="94" t="str">
        <f t="array" ref="V719">IFERROR(INDEX(DFD!$F$2:$F$1048791,MATCH($Q719,DFD!$B$2:$B$1048791,0)),"")</f>
        <v/>
      </c>
      <c r="W719" s="97" t="str">
        <f t="array" ref="W719">IFERROR(INDEX(DFD!$E$2:$E$1048791,MATCH($Q719,DFD!$B$2:$B$1048791,0)),"")</f>
        <v/>
      </c>
      <c r="X719" s="97" t="str">
        <f t="array" ref="X719">IFERROR(INDEX(DFD!$K$2:$K$1048791,MATCH($Q719,DFD!$B$2:$B$1048791,0)),"")</f>
        <v/>
      </c>
      <c r="Y719" s="97" t="str">
        <f t="array" ref="Y719">IFERROR(INDEX(DFD!$L$2:$L$1048790,MATCH($Q719,DFD!$B$2:$B$1048790,0)),"")</f>
        <v/>
      </c>
      <c r="Z719" s="97">
        <f t="shared" si="13"/>
        <v>45</v>
      </c>
      <c r="AA719" s="87"/>
      <c r="AB719" s="87" t="s">
        <v>78</v>
      </c>
      <c r="AC719" s="87"/>
      <c r="AD719" s="99">
        <v>46043.0</v>
      </c>
      <c r="AE719" s="100">
        <f t="shared" si="8"/>
        <v>1</v>
      </c>
    </row>
    <row r="720" ht="15.75" customHeight="1">
      <c r="A720" s="59" t="s">
        <v>2077</v>
      </c>
      <c r="B720" s="59" t="s">
        <v>101</v>
      </c>
      <c r="C720" s="60" t="s">
        <v>2078</v>
      </c>
      <c r="D720" s="60" t="s">
        <v>51</v>
      </c>
      <c r="E720" s="60">
        <v>2.0</v>
      </c>
      <c r="F720" s="72">
        <v>288.0</v>
      </c>
      <c r="G720" s="73" t="s">
        <v>53</v>
      </c>
      <c r="H720" s="74">
        <v>46143.0</v>
      </c>
      <c r="I720" s="67" t="s">
        <v>17</v>
      </c>
      <c r="J720" s="67" t="s">
        <v>54</v>
      </c>
      <c r="K720" s="67" t="s">
        <v>66</v>
      </c>
      <c r="L720" s="67" t="s">
        <v>56</v>
      </c>
      <c r="M720" s="73" t="s">
        <v>68</v>
      </c>
      <c r="N720" s="67" t="s">
        <v>58</v>
      </c>
      <c r="O720" s="59" t="s">
        <v>69</v>
      </c>
      <c r="P720" s="59"/>
      <c r="Q720" s="59" t="s">
        <v>118</v>
      </c>
      <c r="R720" s="76" t="s">
        <v>71</v>
      </c>
      <c r="S720" s="59"/>
      <c r="T720" s="59"/>
      <c r="U720" s="77" t="str">
        <f t="array" ref="U720">IFERROR(INDEX(DFD!$D$2:$D$1048791,MATCH($Q720,DFD!$B$2:$B$1048791,0)),"")</f>
        <v/>
      </c>
      <c r="V720" s="77" t="str">
        <f t="array" ref="V720">IFERROR(INDEX(DFD!$F$2:$F$1048791,MATCH($Q720,DFD!$B$2:$B$1048791,0)),"")</f>
        <v/>
      </c>
      <c r="W720" s="84" t="str">
        <f t="array" ref="W720">IFERROR(INDEX(DFD!$E$2:$E$1048791,MATCH($Q720,DFD!$B$2:$B$1048791,0)),"")</f>
        <v/>
      </c>
      <c r="X720" s="84" t="str">
        <f t="array" ref="X720">IFERROR(INDEX(DFD!$K$2:$K$1048791,MATCH($Q720,DFD!$B$2:$B$1048791,0)),"")</f>
        <v/>
      </c>
      <c r="Y720" s="84" t="str">
        <f t="array" ref="Y720">IFERROR(INDEX(DFD!$L$2:$L$1048790,MATCH($Q720,DFD!$B$2:$B$1048790,0)),"")</f>
        <v/>
      </c>
      <c r="Z720" s="84">
        <f t="shared" si="13"/>
        <v>45</v>
      </c>
      <c r="AA720" s="59"/>
      <c r="AB720" s="59" t="s">
        <v>78</v>
      </c>
      <c r="AC720" s="59"/>
      <c r="AD720" s="85">
        <v>46043.0</v>
      </c>
      <c r="AE720" s="86">
        <f t="shared" si="8"/>
        <v>1</v>
      </c>
    </row>
    <row r="721" ht="15.75" customHeight="1">
      <c r="A721" s="87" t="s">
        <v>2079</v>
      </c>
      <c r="B721" s="87" t="s">
        <v>94</v>
      </c>
      <c r="C721" s="88" t="s">
        <v>2078</v>
      </c>
      <c r="D721" s="88" t="s">
        <v>51</v>
      </c>
      <c r="E721" s="88">
        <v>2.0</v>
      </c>
      <c r="F721" s="89">
        <v>288.0</v>
      </c>
      <c r="G721" s="90" t="s">
        <v>53</v>
      </c>
      <c r="H721" s="91">
        <v>46143.0</v>
      </c>
      <c r="I721" s="92" t="s">
        <v>17</v>
      </c>
      <c r="J721" s="92" t="s">
        <v>54</v>
      </c>
      <c r="K721" s="92" t="s">
        <v>66</v>
      </c>
      <c r="L721" s="92" t="s">
        <v>67</v>
      </c>
      <c r="M721" s="90" t="s">
        <v>57</v>
      </c>
      <c r="N721" s="92" t="s">
        <v>5</v>
      </c>
      <c r="O721" s="87" t="s">
        <v>69</v>
      </c>
      <c r="P721" s="87"/>
      <c r="Q721" s="87" t="s">
        <v>118</v>
      </c>
      <c r="R721" s="93" t="s">
        <v>71</v>
      </c>
      <c r="S721" s="87"/>
      <c r="T721" s="87"/>
      <c r="U721" s="94" t="str">
        <f t="array" ref="U721">IFERROR(INDEX(DFD!$D$2:$D$1048791,MATCH($Q721,DFD!$B$2:$B$1048791,0)),"")</f>
        <v/>
      </c>
      <c r="V721" s="94" t="str">
        <f t="array" ref="V721">IFERROR(INDEX(DFD!$F$2:$F$1048791,MATCH($Q721,DFD!$B$2:$B$1048791,0)),"")</f>
        <v/>
      </c>
      <c r="W721" s="97" t="str">
        <f t="array" ref="W721">IFERROR(INDEX(DFD!$E$2:$E$1048791,MATCH($Q721,DFD!$B$2:$B$1048791,0)),"")</f>
        <v/>
      </c>
      <c r="X721" s="97" t="str">
        <f t="array" ref="X721">IFERROR(INDEX(DFD!$K$2:$K$1048791,MATCH($Q721,DFD!$B$2:$B$1048791,0)),"")</f>
        <v/>
      </c>
      <c r="Y721" s="97" t="str">
        <f t="array" ref="Y721">IFERROR(INDEX(DFD!$L$2:$L$1048790,MATCH($Q721,DFD!$B$2:$B$1048790,0)),"")</f>
        <v/>
      </c>
      <c r="Z721" s="97">
        <f t="shared" si="13"/>
        <v>45</v>
      </c>
      <c r="AA721" s="87"/>
      <c r="AB721" s="87" t="s">
        <v>78</v>
      </c>
      <c r="AC721" s="87"/>
      <c r="AD721" s="99">
        <v>46043.0</v>
      </c>
      <c r="AE721" s="100">
        <f t="shared" si="8"/>
        <v>1</v>
      </c>
    </row>
    <row r="722" ht="15.75" customHeight="1">
      <c r="A722" s="59" t="s">
        <v>2080</v>
      </c>
      <c r="B722" s="59" t="s">
        <v>98</v>
      </c>
      <c r="C722" s="60" t="s">
        <v>2078</v>
      </c>
      <c r="D722" s="60" t="s">
        <v>51</v>
      </c>
      <c r="E722" s="60">
        <v>2.0</v>
      </c>
      <c r="F722" s="72">
        <v>288.0</v>
      </c>
      <c r="G722" s="73" t="s">
        <v>53</v>
      </c>
      <c r="H722" s="74">
        <v>46143.0</v>
      </c>
      <c r="I722" s="67" t="s">
        <v>17</v>
      </c>
      <c r="J722" s="67" t="s">
        <v>54</v>
      </c>
      <c r="K722" s="67" t="s">
        <v>66</v>
      </c>
      <c r="L722" s="67" t="s">
        <v>67</v>
      </c>
      <c r="M722" s="73" t="s">
        <v>57</v>
      </c>
      <c r="N722" s="67" t="s">
        <v>5</v>
      </c>
      <c r="O722" s="67" t="s">
        <v>89</v>
      </c>
      <c r="P722" s="59"/>
      <c r="Q722" s="59" t="s">
        <v>118</v>
      </c>
      <c r="R722" s="76" t="s">
        <v>71</v>
      </c>
      <c r="S722" s="59"/>
      <c r="T722" s="59"/>
      <c r="U722" s="77" t="str">
        <f t="array" ref="U722">IFERROR(INDEX(DFD!$D$2:$D$1048791,MATCH($Q722,DFD!$B$2:$B$1048791,0)),"")</f>
        <v/>
      </c>
      <c r="V722" s="77" t="str">
        <f t="array" ref="V722">IFERROR(INDEX(DFD!$F$2:$F$1048791,MATCH($Q722,DFD!$B$2:$B$1048791,0)),"")</f>
        <v/>
      </c>
      <c r="W722" s="84" t="str">
        <f t="array" ref="W722">IFERROR(INDEX(DFD!$E$2:$E$1048791,MATCH($Q722,DFD!$B$2:$B$1048791,0)),"")</f>
        <v/>
      </c>
      <c r="X722" s="84" t="str">
        <f t="array" ref="X722">IFERROR(INDEX(DFD!$K$2:$K$1048791,MATCH($Q722,DFD!$B$2:$B$1048791,0)),"")</f>
        <v/>
      </c>
      <c r="Y722" s="84" t="str">
        <f t="array" ref="Y722">IFERROR(INDEX(DFD!$L$2:$L$1048790,MATCH($Q722,DFD!$B$2:$B$1048790,0)),"")</f>
        <v/>
      </c>
      <c r="Z722" s="84">
        <f t="shared" si="13"/>
        <v>45</v>
      </c>
      <c r="AA722" s="59"/>
      <c r="AB722" s="59" t="s">
        <v>78</v>
      </c>
      <c r="AC722" s="59"/>
      <c r="AD722" s="85">
        <v>46043.0</v>
      </c>
      <c r="AE722" s="86">
        <f t="shared" si="8"/>
        <v>1</v>
      </c>
    </row>
    <row r="723" ht="15.75" customHeight="1">
      <c r="A723" s="92" t="s">
        <v>2081</v>
      </c>
      <c r="B723" s="87" t="s">
        <v>171</v>
      </c>
      <c r="C723" s="88" t="s">
        <v>2082</v>
      </c>
      <c r="D723" s="88" t="s">
        <v>51</v>
      </c>
      <c r="E723" s="88">
        <v>5.0</v>
      </c>
      <c r="F723" s="89">
        <v>1000.0</v>
      </c>
      <c r="G723" s="90" t="s">
        <v>53</v>
      </c>
      <c r="H723" s="91">
        <v>46174.0</v>
      </c>
      <c r="I723" s="92" t="s">
        <v>17</v>
      </c>
      <c r="J723" s="92" t="s">
        <v>54</v>
      </c>
      <c r="K723" s="92" t="s">
        <v>499</v>
      </c>
      <c r="L723" s="92" t="s">
        <v>56</v>
      </c>
      <c r="M723" s="90" t="s">
        <v>167</v>
      </c>
      <c r="N723" s="92" t="s">
        <v>20</v>
      </c>
      <c r="O723" s="87" t="s">
        <v>69</v>
      </c>
      <c r="P723" s="87"/>
      <c r="Q723" s="87" t="s">
        <v>118</v>
      </c>
      <c r="R723" s="93" t="s">
        <v>181</v>
      </c>
      <c r="S723" s="87"/>
      <c r="T723" s="87"/>
      <c r="U723" s="94" t="str">
        <f t="array" ref="U723">IFERROR(INDEX(DFD!$D$2:$D$1048791,MATCH($Q723,DFD!$B$2:$B$1048791,0)),"")</f>
        <v/>
      </c>
      <c r="V723" s="94" t="str">
        <f t="array" ref="V723">IFERROR(INDEX(DFD!$F$2:$F$1048791,MATCH($Q723,DFD!$B$2:$B$1048791,0)),"")</f>
        <v/>
      </c>
      <c r="W723" s="97" t="str">
        <f t="array" ref="W723">IFERROR(INDEX(DFD!$E$2:$E$1048791,MATCH($Q723,DFD!$B$2:$B$1048791,0)),"")</f>
        <v/>
      </c>
      <c r="X723" s="97" t="str">
        <f t="array" ref="X723">IFERROR(INDEX(DFD!$K$2:$K$1048791,MATCH($Q723,DFD!$B$2:$B$1048791,0)),"")</f>
        <v/>
      </c>
      <c r="Y723" s="97" t="str">
        <f t="array" ref="Y723">IFERROR(INDEX(DFD!$L$2:$L$1048790,MATCH($Q723,DFD!$B$2:$B$1048790,0)),"")</f>
        <v/>
      </c>
      <c r="Z723" s="97">
        <f t="shared" si="13"/>
        <v>45</v>
      </c>
      <c r="AA723" s="87"/>
      <c r="AB723" s="87" t="s">
        <v>78</v>
      </c>
      <c r="AC723" s="87"/>
      <c r="AD723" s="99">
        <v>46043.0</v>
      </c>
      <c r="AE723" s="100">
        <f t="shared" si="8"/>
        <v>1</v>
      </c>
    </row>
    <row r="724" ht="15.75" customHeight="1">
      <c r="A724" s="67" t="s">
        <v>2083</v>
      </c>
      <c r="B724" s="59" t="s">
        <v>95</v>
      </c>
      <c r="C724" s="60" t="s">
        <v>2082</v>
      </c>
      <c r="D724" s="60" t="s">
        <v>51</v>
      </c>
      <c r="E724" s="60">
        <v>2.0</v>
      </c>
      <c r="F724" s="72">
        <v>400.0</v>
      </c>
      <c r="G724" s="73" t="s">
        <v>53</v>
      </c>
      <c r="H724" s="74">
        <v>46174.0</v>
      </c>
      <c r="I724" s="67" t="s">
        <v>17</v>
      </c>
      <c r="J724" s="67" t="s">
        <v>54</v>
      </c>
      <c r="K724" s="67" t="s">
        <v>499</v>
      </c>
      <c r="L724" s="67" t="s">
        <v>56</v>
      </c>
      <c r="M724" s="73" t="s">
        <v>167</v>
      </c>
      <c r="N724" s="67" t="s">
        <v>20</v>
      </c>
      <c r="O724" s="59" t="s">
        <v>69</v>
      </c>
      <c r="P724" s="59"/>
      <c r="Q724" s="59" t="s">
        <v>118</v>
      </c>
      <c r="R724" s="76" t="s">
        <v>181</v>
      </c>
      <c r="S724" s="59"/>
      <c r="T724" s="59"/>
      <c r="U724" s="77" t="str">
        <f t="array" ref="U724">IFERROR(INDEX(DFD!$D$2:$D$1048791,MATCH($Q724,DFD!$B$2:$B$1048791,0)),"")</f>
        <v/>
      </c>
      <c r="V724" s="77" t="str">
        <f t="array" ref="V724">IFERROR(INDEX(DFD!$F$2:$F$1048791,MATCH($Q724,DFD!$B$2:$B$1048791,0)),"")</f>
        <v/>
      </c>
      <c r="W724" s="84" t="str">
        <f t="array" ref="W724">IFERROR(INDEX(DFD!$E$2:$E$1048791,MATCH($Q724,DFD!$B$2:$B$1048791,0)),"")</f>
        <v/>
      </c>
      <c r="X724" s="84" t="str">
        <f t="array" ref="X724">IFERROR(INDEX(DFD!$K$2:$K$1048791,MATCH($Q724,DFD!$B$2:$B$1048791,0)),"")</f>
        <v/>
      </c>
      <c r="Y724" s="84" t="str">
        <f t="array" ref="Y724">IFERROR(INDEX(DFD!$L$2:$L$1048790,MATCH($Q724,DFD!$B$2:$B$1048790,0)),"")</f>
        <v/>
      </c>
      <c r="Z724" s="84">
        <f t="shared" si="13"/>
        <v>45</v>
      </c>
      <c r="AA724" s="59"/>
      <c r="AB724" s="59" t="s">
        <v>78</v>
      </c>
      <c r="AC724" s="59"/>
      <c r="AD724" s="85">
        <v>46043.0</v>
      </c>
      <c r="AE724" s="86">
        <f t="shared" si="8"/>
        <v>1</v>
      </c>
    </row>
    <row r="725" ht="15.75" customHeight="1">
      <c r="A725" s="92" t="s">
        <v>2084</v>
      </c>
      <c r="B725" s="87" t="s">
        <v>98</v>
      </c>
      <c r="C725" s="88" t="s">
        <v>2082</v>
      </c>
      <c r="D725" s="88" t="s">
        <v>51</v>
      </c>
      <c r="E725" s="88">
        <v>1.0</v>
      </c>
      <c r="F725" s="89">
        <v>200.0</v>
      </c>
      <c r="G725" s="90" t="s">
        <v>53</v>
      </c>
      <c r="H725" s="91">
        <v>46143.0</v>
      </c>
      <c r="I725" s="92" t="s">
        <v>17</v>
      </c>
      <c r="J725" s="92" t="s">
        <v>54</v>
      </c>
      <c r="K725" s="92" t="s">
        <v>499</v>
      </c>
      <c r="L725" s="92" t="s">
        <v>56</v>
      </c>
      <c r="M725" s="90" t="s">
        <v>68</v>
      </c>
      <c r="N725" s="92" t="s">
        <v>20</v>
      </c>
      <c r="O725" s="92" t="s">
        <v>89</v>
      </c>
      <c r="P725" s="87"/>
      <c r="Q725" s="87" t="s">
        <v>118</v>
      </c>
      <c r="R725" s="93" t="s">
        <v>181</v>
      </c>
      <c r="S725" s="87"/>
      <c r="T725" s="87"/>
      <c r="U725" s="94" t="str">
        <f t="array" ref="U725">IFERROR(INDEX(DFD!$D$2:$D$1048791,MATCH($Q725,DFD!$B$2:$B$1048791,0)),"")</f>
        <v/>
      </c>
      <c r="V725" s="94" t="str">
        <f t="array" ref="V725">IFERROR(INDEX(DFD!$F$2:$F$1048791,MATCH($Q725,DFD!$B$2:$B$1048791,0)),"")</f>
        <v/>
      </c>
      <c r="W725" s="97" t="str">
        <f t="array" ref="W725">IFERROR(INDEX(DFD!$E$2:$E$1048791,MATCH($Q725,DFD!$B$2:$B$1048791,0)),"")</f>
        <v/>
      </c>
      <c r="X725" s="97" t="str">
        <f t="array" ref="X725">IFERROR(INDEX(DFD!$K$2:$K$1048791,MATCH($Q725,DFD!$B$2:$B$1048791,0)),"")</f>
        <v/>
      </c>
      <c r="Y725" s="97" t="str">
        <f t="array" ref="Y725">IFERROR(INDEX(DFD!$L$2:$L$1048790,MATCH($Q725,DFD!$B$2:$B$1048790,0)),"")</f>
        <v/>
      </c>
      <c r="Z725" s="97">
        <f t="shared" si="13"/>
        <v>45</v>
      </c>
      <c r="AA725" s="87"/>
      <c r="AB725" s="87" t="s">
        <v>78</v>
      </c>
      <c r="AC725" s="87"/>
      <c r="AD725" s="99">
        <v>46043.0</v>
      </c>
      <c r="AE725" s="100">
        <f t="shared" si="8"/>
        <v>1</v>
      </c>
    </row>
    <row r="726" ht="15.75" customHeight="1">
      <c r="A726" s="59" t="s">
        <v>2085</v>
      </c>
      <c r="B726" s="59" t="s">
        <v>101</v>
      </c>
      <c r="C726" s="60" t="s">
        <v>2086</v>
      </c>
      <c r="D726" s="60" t="s">
        <v>51</v>
      </c>
      <c r="E726" s="60">
        <v>35.0</v>
      </c>
      <c r="F726" s="72">
        <v>1750.0</v>
      </c>
      <c r="G726" s="73" t="s">
        <v>53</v>
      </c>
      <c r="H726" s="74">
        <v>46174.0</v>
      </c>
      <c r="I726" s="67" t="s">
        <v>17</v>
      </c>
      <c r="J726" s="67" t="s">
        <v>54</v>
      </c>
      <c r="K726" s="67" t="s">
        <v>66</v>
      </c>
      <c r="L726" s="67" t="s">
        <v>56</v>
      </c>
      <c r="M726" s="73" t="s">
        <v>132</v>
      </c>
      <c r="N726" s="67" t="s">
        <v>58</v>
      </c>
      <c r="O726" s="59" t="s">
        <v>69</v>
      </c>
      <c r="P726" s="59"/>
      <c r="Q726" s="59" t="s">
        <v>756</v>
      </c>
      <c r="R726" s="76" t="s">
        <v>71</v>
      </c>
      <c r="S726" s="59"/>
      <c r="T726" s="59"/>
      <c r="U726" s="77" t="s">
        <v>668</v>
      </c>
      <c r="V726" s="77" t="str">
        <f t="array" ref="V726">IFERROR(INDEX(DFD!$F$2:$F$1048791,MATCH($Q726,DFD!$B$2:$B$1048791,0)),"")</f>
        <v/>
      </c>
      <c r="W726" s="84" t="str">
        <f t="array" ref="W726">IFERROR(INDEX(DFD!$E$2:$E$1048791,MATCH($Q726,DFD!$B$2:$B$1048791,0)),"")</f>
        <v/>
      </c>
      <c r="X726" s="84" t="str">
        <f t="array" ref="X726">IFERROR(INDEX(DFD!$K$2:$K$1048791,MATCH($Q726,DFD!$B$2:$B$1048791,0)),"")</f>
        <v/>
      </c>
      <c r="Y726" s="84" t="str">
        <f t="array" ref="Y726">IFERROR(INDEX(DFD!$L$2:$L$1048790,MATCH($Q726,DFD!$B$2:$B$1048790,0)),"")</f>
        <v/>
      </c>
      <c r="Z726" s="84">
        <f t="shared" si="13"/>
        <v>45</v>
      </c>
      <c r="AA726" s="59"/>
      <c r="AB726" s="59" t="s">
        <v>78</v>
      </c>
      <c r="AC726" s="59"/>
      <c r="AD726" s="85">
        <v>46043.0</v>
      </c>
      <c r="AE726" s="86">
        <f t="shared" si="8"/>
        <v>1</v>
      </c>
    </row>
    <row r="727" ht="15.75" customHeight="1">
      <c r="A727" s="87" t="s">
        <v>2087</v>
      </c>
      <c r="B727" s="87" t="s">
        <v>101</v>
      </c>
      <c r="C727" s="88" t="s">
        <v>2088</v>
      </c>
      <c r="D727" s="88" t="s">
        <v>51</v>
      </c>
      <c r="E727" s="88">
        <v>45.0</v>
      </c>
      <c r="F727" s="89">
        <v>2250.0</v>
      </c>
      <c r="G727" s="90" t="s">
        <v>53</v>
      </c>
      <c r="H727" s="91">
        <v>46174.0</v>
      </c>
      <c r="I727" s="92" t="s">
        <v>17</v>
      </c>
      <c r="J727" s="92" t="s">
        <v>54</v>
      </c>
      <c r="K727" s="92" t="s">
        <v>66</v>
      </c>
      <c r="L727" s="92" t="s">
        <v>56</v>
      </c>
      <c r="M727" s="90" t="s">
        <v>68</v>
      </c>
      <c r="N727" s="92" t="s">
        <v>58</v>
      </c>
      <c r="O727" s="87" t="s">
        <v>69</v>
      </c>
      <c r="P727" s="87"/>
      <c r="Q727" s="87" t="s">
        <v>756</v>
      </c>
      <c r="R727" s="93" t="s">
        <v>71</v>
      </c>
      <c r="S727" s="87"/>
      <c r="T727" s="87"/>
      <c r="U727" s="94" t="s">
        <v>668</v>
      </c>
      <c r="V727" s="94" t="str">
        <f t="array" ref="V727">IFERROR(INDEX(DFD!$F$2:$F$1048791,MATCH($Q727,DFD!$B$2:$B$1048791,0)),"")</f>
        <v/>
      </c>
      <c r="W727" s="97" t="str">
        <f t="array" ref="W727">IFERROR(INDEX(DFD!$E$2:$E$1048791,MATCH($Q727,DFD!$B$2:$B$1048791,0)),"")</f>
        <v/>
      </c>
      <c r="X727" s="97" t="str">
        <f t="array" ref="X727">IFERROR(INDEX(DFD!$K$2:$K$1048791,MATCH($Q727,DFD!$B$2:$B$1048791,0)),"")</f>
        <v/>
      </c>
      <c r="Y727" s="97" t="str">
        <f t="array" ref="Y727">IFERROR(INDEX(DFD!$L$2:$L$1048790,MATCH($Q727,DFD!$B$2:$B$1048790,0)),"")</f>
        <v/>
      </c>
      <c r="Z727" s="97">
        <f t="shared" si="13"/>
        <v>45</v>
      </c>
      <c r="AA727" s="87"/>
      <c r="AB727" s="87" t="s">
        <v>78</v>
      </c>
      <c r="AC727" s="87"/>
      <c r="AD727" s="99">
        <v>46043.0</v>
      </c>
      <c r="AE727" s="100">
        <f t="shared" si="8"/>
        <v>1</v>
      </c>
    </row>
    <row r="728" ht="15.75" customHeight="1">
      <c r="A728" s="59" t="s">
        <v>2089</v>
      </c>
      <c r="B728" s="59" t="s">
        <v>101</v>
      </c>
      <c r="C728" s="60" t="s">
        <v>2090</v>
      </c>
      <c r="D728" s="60" t="s">
        <v>51</v>
      </c>
      <c r="E728" s="60">
        <v>70.0</v>
      </c>
      <c r="F728" s="72">
        <v>4620.0</v>
      </c>
      <c r="G728" s="73" t="s">
        <v>53</v>
      </c>
      <c r="H728" s="74">
        <v>46204.0</v>
      </c>
      <c r="I728" s="67" t="s">
        <v>17</v>
      </c>
      <c r="J728" s="67" t="s">
        <v>54</v>
      </c>
      <c r="K728" s="67" t="s">
        <v>66</v>
      </c>
      <c r="L728" s="67" t="s">
        <v>56</v>
      </c>
      <c r="M728" s="73" t="s">
        <v>132</v>
      </c>
      <c r="N728" s="67" t="s">
        <v>58</v>
      </c>
      <c r="O728" s="67" t="s">
        <v>89</v>
      </c>
      <c r="P728" s="59"/>
      <c r="Q728" s="59" t="s">
        <v>756</v>
      </c>
      <c r="R728" s="76" t="s">
        <v>71</v>
      </c>
      <c r="S728" s="59"/>
      <c r="T728" s="59"/>
      <c r="U728" s="77" t="s">
        <v>668</v>
      </c>
      <c r="V728" s="77" t="str">
        <f t="array" ref="V728">IFERROR(INDEX(DFD!$F$2:$F$1048791,MATCH($Q728,DFD!$B$2:$B$1048791,0)),"")</f>
        <v/>
      </c>
      <c r="W728" s="84" t="str">
        <f t="array" ref="W728">IFERROR(INDEX(DFD!$E$2:$E$1048791,MATCH($Q728,DFD!$B$2:$B$1048791,0)),"")</f>
        <v/>
      </c>
      <c r="X728" s="84" t="str">
        <f t="array" ref="X728">IFERROR(INDEX(DFD!$K$2:$K$1048791,MATCH($Q728,DFD!$B$2:$B$1048791,0)),"")</f>
        <v/>
      </c>
      <c r="Y728" s="84" t="str">
        <f t="array" ref="Y728">IFERROR(INDEX(DFD!$L$2:$L$1048790,MATCH($Q728,DFD!$B$2:$B$1048790,0)),"")</f>
        <v/>
      </c>
      <c r="Z728" s="84">
        <f t="shared" si="13"/>
        <v>45</v>
      </c>
      <c r="AA728" s="59"/>
      <c r="AB728" s="59" t="s">
        <v>78</v>
      </c>
      <c r="AC728" s="59"/>
      <c r="AD728" s="85">
        <v>46043.0</v>
      </c>
      <c r="AE728" s="86">
        <f t="shared" si="8"/>
        <v>1</v>
      </c>
    </row>
    <row r="729" ht="15.75" customHeight="1">
      <c r="A729" s="87" t="s">
        <v>2091</v>
      </c>
      <c r="B729" s="87" t="s">
        <v>101</v>
      </c>
      <c r="C729" s="88" t="s">
        <v>2092</v>
      </c>
      <c r="D729" s="88" t="s">
        <v>51</v>
      </c>
      <c r="E729" s="88">
        <v>4.0</v>
      </c>
      <c r="F729" s="89">
        <v>6000.0</v>
      </c>
      <c r="G729" s="90" t="s">
        <v>53</v>
      </c>
      <c r="H729" s="91">
        <v>46204.0</v>
      </c>
      <c r="I729" s="92" t="s">
        <v>17</v>
      </c>
      <c r="J729" s="92" t="s">
        <v>54</v>
      </c>
      <c r="K729" s="92" t="s">
        <v>66</v>
      </c>
      <c r="L729" s="92" t="s">
        <v>56</v>
      </c>
      <c r="M729" s="90" t="s">
        <v>68</v>
      </c>
      <c r="N729" s="92" t="s">
        <v>58</v>
      </c>
      <c r="O729" s="87" t="s">
        <v>69</v>
      </c>
      <c r="P729" s="87"/>
      <c r="Q729" s="87" t="s">
        <v>143</v>
      </c>
      <c r="R729" s="93" t="s">
        <v>71</v>
      </c>
      <c r="S729" s="87"/>
      <c r="T729" s="87"/>
      <c r="U729" s="94" t="str">
        <f t="array" ref="U729">IFERROR(INDEX(DFD!$D$2:$D$1048791,MATCH($Q729,DFD!$B$2:$B$1048791,0)),"")</f>
        <v/>
      </c>
      <c r="V729" s="94" t="str">
        <f t="array" ref="V729">IFERROR(INDEX(DFD!$F$2:$F$1048791,MATCH($Q729,DFD!$B$2:$B$1048791,0)),"")</f>
        <v/>
      </c>
      <c r="W729" s="97" t="str">
        <f t="array" ref="W729">IFERROR(INDEX(DFD!$E$2:$E$1048791,MATCH($Q729,DFD!$B$2:$B$1048791,0)),"")</f>
        <v/>
      </c>
      <c r="X729" s="97" t="str">
        <f t="array" ref="X729">IFERROR(INDEX(DFD!$K$2:$K$1048791,MATCH($Q729,DFD!$B$2:$B$1048791,0)),"")</f>
        <v/>
      </c>
      <c r="Y729" s="97" t="str">
        <f t="array" ref="Y729">IFERROR(INDEX(DFD!$L$2:$L$1048790,MATCH($Q729,DFD!$B$2:$B$1048790,0)),"")</f>
        <v/>
      </c>
      <c r="Z729" s="97">
        <f t="shared" si="13"/>
        <v>45</v>
      </c>
      <c r="AA729" s="87"/>
      <c r="AB729" s="87" t="s">
        <v>78</v>
      </c>
      <c r="AC729" s="87"/>
      <c r="AD729" s="99">
        <v>46043.0</v>
      </c>
      <c r="AE729" s="100">
        <f t="shared" si="8"/>
        <v>1</v>
      </c>
    </row>
    <row r="730" ht="15.75" customHeight="1">
      <c r="A730" s="67" t="s">
        <v>2093</v>
      </c>
      <c r="B730" s="59" t="s">
        <v>184</v>
      </c>
      <c r="C730" s="60" t="s">
        <v>2094</v>
      </c>
      <c r="D730" s="60" t="s">
        <v>51</v>
      </c>
      <c r="E730" s="60">
        <v>1.0</v>
      </c>
      <c r="F730" s="72">
        <v>160.0</v>
      </c>
      <c r="G730" s="73" t="s">
        <v>53</v>
      </c>
      <c r="H730" s="74">
        <v>46031.0</v>
      </c>
      <c r="I730" s="67" t="s">
        <v>17</v>
      </c>
      <c r="J730" s="67" t="s">
        <v>54</v>
      </c>
      <c r="K730" s="67" t="s">
        <v>372</v>
      </c>
      <c r="L730" s="67" t="s">
        <v>67</v>
      </c>
      <c r="M730" s="73" t="s">
        <v>104</v>
      </c>
      <c r="N730" s="67" t="s">
        <v>20</v>
      </c>
      <c r="O730" s="59" t="s">
        <v>69</v>
      </c>
      <c r="P730" s="59"/>
      <c r="Q730" s="59" t="s">
        <v>113</v>
      </c>
      <c r="R730" s="76" t="s">
        <v>114</v>
      </c>
      <c r="S730" s="120"/>
      <c r="T730" s="59"/>
      <c r="U730" s="77" t="str">
        <f t="array" ref="U730">IFERROR(INDEX(DFD!$D$2:$D$1048791,MATCH($Q730,DFD!$B$2:$B$1048791,0)),"")</f>
        <v/>
      </c>
      <c r="V730" s="77" t="str">
        <f t="array" ref="V730">IFERROR(INDEX(DFD!$F$2:$F$1048791,MATCH($Q730,DFD!$B$2:$B$1048791,0)),"")</f>
        <v/>
      </c>
      <c r="W730" s="84" t="str">
        <f t="array" ref="W730">IFERROR(INDEX(DFD!$E$2:$E$1048791,MATCH($Q730,DFD!$B$2:$B$1048791,0)),"")</f>
        <v/>
      </c>
      <c r="X730" s="84" t="str">
        <f t="array" ref="X730">IFERROR(INDEX(DFD!$K$2:$K$1048791,MATCH($Q730,DFD!$B$2:$B$1048791,0)),"")</f>
        <v/>
      </c>
      <c r="Y730" s="84" t="str">
        <f t="array" ref="Y730">IFERROR(INDEX(DFD!$L$2:$L$1048790,MATCH($Q730,DFD!$B$2:$B$1048790,0)),"")</f>
        <v/>
      </c>
      <c r="Z730" s="84">
        <f t="shared" si="13"/>
        <v>45</v>
      </c>
      <c r="AA730" s="59" t="s">
        <v>746</v>
      </c>
      <c r="AB730" s="59" t="s">
        <v>78</v>
      </c>
      <c r="AC730" s="59"/>
      <c r="AD730" s="85">
        <v>46043.0</v>
      </c>
      <c r="AE730" s="86">
        <f t="shared" si="8"/>
        <v>1</v>
      </c>
    </row>
    <row r="731" ht="15.75" customHeight="1">
      <c r="A731" s="92" t="s">
        <v>2095</v>
      </c>
      <c r="B731" s="87" t="s">
        <v>98</v>
      </c>
      <c r="C731" s="88" t="s">
        <v>2096</v>
      </c>
      <c r="D731" s="88" t="s">
        <v>51</v>
      </c>
      <c r="E731" s="88">
        <v>4.0</v>
      </c>
      <c r="F731" s="89">
        <v>800.0</v>
      </c>
      <c r="G731" s="90" t="s">
        <v>53</v>
      </c>
      <c r="H731" s="91">
        <v>46174.0</v>
      </c>
      <c r="I731" s="92" t="s">
        <v>17</v>
      </c>
      <c r="J731" s="92" t="s">
        <v>54</v>
      </c>
      <c r="K731" s="92" t="s">
        <v>66</v>
      </c>
      <c r="L731" s="92" t="s">
        <v>197</v>
      </c>
      <c r="M731" s="90" t="s">
        <v>57</v>
      </c>
      <c r="N731" s="92" t="s">
        <v>20</v>
      </c>
      <c r="O731" s="92" t="s">
        <v>89</v>
      </c>
      <c r="P731" s="87"/>
      <c r="Q731" s="87" t="s">
        <v>143</v>
      </c>
      <c r="R731" s="93" t="s">
        <v>71</v>
      </c>
      <c r="S731" s="87"/>
      <c r="T731" s="87"/>
      <c r="U731" s="94" t="str">
        <f t="array" ref="U731">IFERROR(INDEX(DFD!$D$2:$D$1048791,MATCH($Q731,DFD!$B$2:$B$1048791,0)),"")</f>
        <v/>
      </c>
      <c r="V731" s="94" t="str">
        <f t="array" ref="V731">IFERROR(INDEX(DFD!$F$2:$F$1048791,MATCH($Q731,DFD!$B$2:$B$1048791,0)),"")</f>
        <v/>
      </c>
      <c r="W731" s="97" t="str">
        <f t="array" ref="W731">IFERROR(INDEX(DFD!$E$2:$E$1048791,MATCH($Q731,DFD!$B$2:$B$1048791,0)),"")</f>
        <v/>
      </c>
      <c r="X731" s="97" t="str">
        <f t="array" ref="X731">IFERROR(INDEX(DFD!$K$2:$K$1048791,MATCH($Q731,DFD!$B$2:$B$1048791,0)),"")</f>
        <v/>
      </c>
      <c r="Y731" s="97" t="str">
        <f t="array" ref="Y731">IFERROR(INDEX(DFD!$L$2:$L$1048790,MATCH($Q731,DFD!$B$2:$B$1048790,0)),"")</f>
        <v/>
      </c>
      <c r="Z731" s="97">
        <f t="shared" si="13"/>
        <v>45</v>
      </c>
      <c r="AA731" s="87"/>
      <c r="AB731" s="87" t="s">
        <v>78</v>
      </c>
      <c r="AC731" s="87"/>
      <c r="AD731" s="99">
        <v>46043.0</v>
      </c>
      <c r="AE731" s="100">
        <f t="shared" si="8"/>
        <v>1</v>
      </c>
    </row>
    <row r="732" ht="15.75" customHeight="1">
      <c r="A732" s="67" t="s">
        <v>2097</v>
      </c>
      <c r="B732" s="59" t="s">
        <v>184</v>
      </c>
      <c r="C732" s="60" t="s">
        <v>2098</v>
      </c>
      <c r="D732" s="60" t="s">
        <v>51</v>
      </c>
      <c r="E732" s="60">
        <v>30.0</v>
      </c>
      <c r="F732" s="72">
        <v>45300.0</v>
      </c>
      <c r="G732" s="73" t="s">
        <v>53</v>
      </c>
      <c r="H732" s="74">
        <v>46266.0</v>
      </c>
      <c r="I732" s="67" t="s">
        <v>17</v>
      </c>
      <c r="J732" s="67" t="s">
        <v>54</v>
      </c>
      <c r="K732" s="67" t="s">
        <v>66</v>
      </c>
      <c r="L732" s="67" t="s">
        <v>67</v>
      </c>
      <c r="M732" s="73" t="s">
        <v>57</v>
      </c>
      <c r="N732" s="67" t="s">
        <v>20</v>
      </c>
      <c r="O732" s="59" t="s">
        <v>69</v>
      </c>
      <c r="P732" s="59"/>
      <c r="Q732" s="59" t="s">
        <v>143</v>
      </c>
      <c r="R732" s="76" t="s">
        <v>71</v>
      </c>
      <c r="S732" s="59"/>
      <c r="T732" s="59"/>
      <c r="U732" s="77" t="str">
        <f t="array" ref="U732">IFERROR(INDEX(DFD!$D$2:$D$1048791,MATCH($Q732,DFD!$B$2:$B$1048791,0)),"")</f>
        <v/>
      </c>
      <c r="V732" s="77" t="str">
        <f t="array" ref="V732">IFERROR(INDEX(DFD!$F$2:$F$1048791,MATCH($Q732,DFD!$B$2:$B$1048791,0)),"")</f>
        <v/>
      </c>
      <c r="W732" s="84" t="str">
        <f t="array" ref="W732">IFERROR(INDEX(DFD!$E$2:$E$1048791,MATCH($Q732,DFD!$B$2:$B$1048791,0)),"")</f>
        <v/>
      </c>
      <c r="X732" s="84" t="str">
        <f t="array" ref="X732">IFERROR(INDEX(DFD!$K$2:$K$1048791,MATCH($Q732,DFD!$B$2:$B$1048791,0)),"")</f>
        <v/>
      </c>
      <c r="Y732" s="84" t="str">
        <f t="array" ref="Y732">IFERROR(INDEX(DFD!$L$2:$L$1048790,MATCH($Q732,DFD!$B$2:$B$1048790,0)),"")</f>
        <v/>
      </c>
      <c r="Z732" s="84">
        <f t="shared" si="13"/>
        <v>45</v>
      </c>
      <c r="AA732" s="59"/>
      <c r="AB732" s="59" t="s">
        <v>78</v>
      </c>
      <c r="AC732" s="59"/>
      <c r="AD732" s="85">
        <v>46043.0</v>
      </c>
      <c r="AE732" s="86">
        <f t="shared" si="8"/>
        <v>1</v>
      </c>
    </row>
    <row r="733" ht="15.75" customHeight="1">
      <c r="A733" s="92" t="s">
        <v>2099</v>
      </c>
      <c r="B733" s="87" t="s">
        <v>184</v>
      </c>
      <c r="C733" s="88" t="s">
        <v>2100</v>
      </c>
      <c r="D733" s="88" t="s">
        <v>51</v>
      </c>
      <c r="E733" s="88">
        <v>30.0</v>
      </c>
      <c r="F733" s="89">
        <v>41550.0</v>
      </c>
      <c r="G733" s="90" t="s">
        <v>53</v>
      </c>
      <c r="H733" s="91">
        <v>46266.0</v>
      </c>
      <c r="I733" s="92" t="s">
        <v>17</v>
      </c>
      <c r="J733" s="92" t="s">
        <v>54</v>
      </c>
      <c r="K733" s="92" t="s">
        <v>66</v>
      </c>
      <c r="L733" s="92" t="s">
        <v>67</v>
      </c>
      <c r="M733" s="90" t="s">
        <v>57</v>
      </c>
      <c r="N733" s="92" t="s">
        <v>20</v>
      </c>
      <c r="O733" s="87" t="s">
        <v>69</v>
      </c>
      <c r="P733" s="87"/>
      <c r="Q733" s="87" t="s">
        <v>143</v>
      </c>
      <c r="R733" s="93" t="s">
        <v>71</v>
      </c>
      <c r="S733" s="87"/>
      <c r="T733" s="87"/>
      <c r="U733" s="94" t="str">
        <f t="array" ref="U733">IFERROR(INDEX(DFD!$D$2:$D$1048791,MATCH($Q733,DFD!$B$2:$B$1048791,0)),"")</f>
        <v/>
      </c>
      <c r="V733" s="94" t="str">
        <f t="array" ref="V733">IFERROR(INDEX(DFD!$F$2:$F$1048791,MATCH($Q733,DFD!$B$2:$B$1048791,0)),"")</f>
        <v/>
      </c>
      <c r="W733" s="97" t="str">
        <f t="array" ref="W733">IFERROR(INDEX(DFD!$E$2:$E$1048791,MATCH($Q733,DFD!$B$2:$B$1048791,0)),"")</f>
        <v/>
      </c>
      <c r="X733" s="97" t="str">
        <f t="array" ref="X733">IFERROR(INDEX(DFD!$K$2:$K$1048791,MATCH($Q733,DFD!$B$2:$B$1048791,0)),"")</f>
        <v/>
      </c>
      <c r="Y733" s="97" t="str">
        <f t="array" ref="Y733">IFERROR(INDEX(DFD!$L$2:$L$1048790,MATCH($Q733,DFD!$B$2:$B$1048790,0)),"")</f>
        <v/>
      </c>
      <c r="Z733" s="97">
        <f t="shared" si="13"/>
        <v>45</v>
      </c>
      <c r="AA733" s="87"/>
      <c r="AB733" s="87" t="s">
        <v>78</v>
      </c>
      <c r="AC733" s="87"/>
      <c r="AD733" s="99">
        <v>46043.0</v>
      </c>
      <c r="AE733" s="100">
        <f t="shared" si="8"/>
        <v>1</v>
      </c>
    </row>
    <row r="734" ht="15.75" customHeight="1">
      <c r="A734" s="67" t="s">
        <v>2101</v>
      </c>
      <c r="B734" s="59" t="s">
        <v>184</v>
      </c>
      <c r="C734" s="60" t="s">
        <v>2102</v>
      </c>
      <c r="D734" s="60" t="s">
        <v>51</v>
      </c>
      <c r="E734" s="60">
        <v>750.0</v>
      </c>
      <c r="F734" s="72">
        <v>7125.0</v>
      </c>
      <c r="G734" s="73" t="s">
        <v>53</v>
      </c>
      <c r="H734" s="74">
        <v>46204.0</v>
      </c>
      <c r="I734" s="67" t="s">
        <v>17</v>
      </c>
      <c r="J734" s="67" t="s">
        <v>54</v>
      </c>
      <c r="K734" s="67" t="s">
        <v>66</v>
      </c>
      <c r="L734" s="67" t="s">
        <v>67</v>
      </c>
      <c r="M734" s="73" t="s">
        <v>57</v>
      </c>
      <c r="N734" s="67" t="s">
        <v>20</v>
      </c>
      <c r="O734" s="67" t="s">
        <v>89</v>
      </c>
      <c r="P734" s="59"/>
      <c r="Q734" s="59" t="s">
        <v>268</v>
      </c>
      <c r="R734" s="76" t="s">
        <v>71</v>
      </c>
      <c r="S734" s="59"/>
      <c r="T734" s="59"/>
      <c r="U734" s="77" t="str">
        <f t="array" ref="U734">IFERROR(INDEX(DFD!$D$2:$D$1048791,MATCH($Q734,DFD!$B$2:$B$1048791,0)),"")</f>
        <v/>
      </c>
      <c r="V734" s="77" t="str">
        <f t="array" ref="V734">IFERROR(INDEX(DFD!$F$2:$F$1048791,MATCH($Q734,DFD!$B$2:$B$1048791,0)),"")</f>
        <v/>
      </c>
      <c r="W734" s="84" t="str">
        <f t="array" ref="W734">IFERROR(INDEX(DFD!$E$2:$E$1048791,MATCH($Q734,DFD!$B$2:$B$1048791,0)),"")</f>
        <v/>
      </c>
      <c r="X734" s="84" t="str">
        <f t="array" ref="X734">IFERROR(INDEX(DFD!$K$2:$K$1048791,MATCH($Q734,DFD!$B$2:$B$1048791,0)),"")</f>
        <v/>
      </c>
      <c r="Y734" s="84" t="str">
        <f t="array" ref="Y734">IFERROR(INDEX(DFD!$L$2:$L$1048790,MATCH($Q734,DFD!$B$2:$B$1048790,0)),"")</f>
        <v/>
      </c>
      <c r="Z734" s="84">
        <f t="shared" si="13"/>
        <v>45</v>
      </c>
      <c r="AA734" s="59"/>
      <c r="AB734" s="59" t="s">
        <v>78</v>
      </c>
      <c r="AC734" s="59"/>
      <c r="AD734" s="85">
        <v>46043.0</v>
      </c>
      <c r="AE734" s="86">
        <f t="shared" si="8"/>
        <v>1</v>
      </c>
    </row>
    <row r="735" ht="15.75" customHeight="1">
      <c r="A735" s="87" t="s">
        <v>2103</v>
      </c>
      <c r="B735" s="87" t="s">
        <v>101</v>
      </c>
      <c r="C735" s="88" t="s">
        <v>2102</v>
      </c>
      <c r="D735" s="88" t="s">
        <v>51</v>
      </c>
      <c r="E735" s="88">
        <v>30.0</v>
      </c>
      <c r="F735" s="89">
        <v>285.0</v>
      </c>
      <c r="G735" s="90" t="s">
        <v>53</v>
      </c>
      <c r="H735" s="91">
        <v>46143.0</v>
      </c>
      <c r="I735" s="92" t="s">
        <v>17</v>
      </c>
      <c r="J735" s="92" t="s">
        <v>54</v>
      </c>
      <c r="K735" s="92" t="s">
        <v>66</v>
      </c>
      <c r="L735" s="92" t="s">
        <v>56</v>
      </c>
      <c r="M735" s="90" t="s">
        <v>167</v>
      </c>
      <c r="N735" s="92" t="s">
        <v>58</v>
      </c>
      <c r="O735" s="87" t="s">
        <v>69</v>
      </c>
      <c r="P735" s="87"/>
      <c r="Q735" s="87" t="s">
        <v>268</v>
      </c>
      <c r="R735" s="93" t="s">
        <v>71</v>
      </c>
      <c r="S735" s="87"/>
      <c r="T735" s="87"/>
      <c r="U735" s="94" t="str">
        <f t="array" ref="U735">IFERROR(INDEX(DFD!$D$2:$D$1048791,MATCH($Q735,DFD!$B$2:$B$1048791,0)),"")</f>
        <v/>
      </c>
      <c r="V735" s="94" t="str">
        <f t="array" ref="V735">IFERROR(INDEX(DFD!$F$2:$F$1048791,MATCH($Q735,DFD!$B$2:$B$1048791,0)),"")</f>
        <v/>
      </c>
      <c r="W735" s="97" t="str">
        <f t="array" ref="W735">IFERROR(INDEX(DFD!$E$2:$E$1048791,MATCH($Q735,DFD!$B$2:$B$1048791,0)),"")</f>
        <v/>
      </c>
      <c r="X735" s="97" t="str">
        <f t="array" ref="X735">IFERROR(INDEX(DFD!$K$2:$K$1048791,MATCH($Q735,DFD!$B$2:$B$1048791,0)),"")</f>
        <v/>
      </c>
      <c r="Y735" s="97" t="str">
        <f t="array" ref="Y735">IFERROR(INDEX(DFD!$L$2:$L$1048790,MATCH($Q735,DFD!$B$2:$B$1048790,0)),"")</f>
        <v/>
      </c>
      <c r="Z735" s="97">
        <f t="shared" si="13"/>
        <v>45</v>
      </c>
      <c r="AA735" s="87"/>
      <c r="AB735" s="87" t="s">
        <v>78</v>
      </c>
      <c r="AC735" s="87"/>
      <c r="AD735" s="99">
        <v>46043.0</v>
      </c>
      <c r="AE735" s="100">
        <f t="shared" si="8"/>
        <v>1</v>
      </c>
    </row>
    <row r="736" ht="15.75" customHeight="1">
      <c r="A736" s="59" t="s">
        <v>2104</v>
      </c>
      <c r="B736" s="59" t="s">
        <v>277</v>
      </c>
      <c r="C736" s="60" t="s">
        <v>2102</v>
      </c>
      <c r="D736" s="60" t="s">
        <v>51</v>
      </c>
      <c r="E736" s="60">
        <v>25.0</v>
      </c>
      <c r="F736" s="72">
        <v>237.5</v>
      </c>
      <c r="G736" s="73" t="s">
        <v>53</v>
      </c>
      <c r="H736" s="74">
        <v>46143.0</v>
      </c>
      <c r="I736" s="67" t="s">
        <v>17</v>
      </c>
      <c r="J736" s="67" t="s">
        <v>54</v>
      </c>
      <c r="K736" s="67" t="s">
        <v>66</v>
      </c>
      <c r="L736" s="67" t="s">
        <v>67</v>
      </c>
      <c r="M736" s="73" t="s">
        <v>57</v>
      </c>
      <c r="N736" s="67" t="s">
        <v>5</v>
      </c>
      <c r="O736" s="59" t="s">
        <v>69</v>
      </c>
      <c r="P736" s="59"/>
      <c r="Q736" s="59" t="s">
        <v>268</v>
      </c>
      <c r="R736" s="76" t="s">
        <v>71</v>
      </c>
      <c r="S736" s="59"/>
      <c r="T736" s="59"/>
      <c r="U736" s="77" t="str">
        <f t="array" ref="U736">IFERROR(INDEX(DFD!$D$2:$D$1048791,MATCH($Q736,DFD!$B$2:$B$1048791,0)),"")</f>
        <v/>
      </c>
      <c r="V736" s="77" t="str">
        <f t="array" ref="V736">IFERROR(INDEX(DFD!$F$2:$F$1048791,MATCH($Q736,DFD!$B$2:$B$1048791,0)),"")</f>
        <v/>
      </c>
      <c r="W736" s="84" t="str">
        <f t="array" ref="W736">IFERROR(INDEX(DFD!$E$2:$E$1048791,MATCH($Q736,DFD!$B$2:$B$1048791,0)),"")</f>
        <v/>
      </c>
      <c r="X736" s="84" t="str">
        <f t="array" ref="X736">IFERROR(INDEX(DFD!$K$2:$K$1048791,MATCH($Q736,DFD!$B$2:$B$1048791,0)),"")</f>
        <v/>
      </c>
      <c r="Y736" s="84" t="str">
        <f t="array" ref="Y736">IFERROR(INDEX(DFD!$L$2:$L$1048790,MATCH($Q736,DFD!$B$2:$B$1048790,0)),"")</f>
        <v/>
      </c>
      <c r="Z736" s="84">
        <f t="shared" si="13"/>
        <v>45</v>
      </c>
      <c r="AA736" s="59"/>
      <c r="AB736" s="59" t="s">
        <v>78</v>
      </c>
      <c r="AC736" s="59"/>
      <c r="AD736" s="85">
        <v>46043.0</v>
      </c>
      <c r="AE736" s="86">
        <f t="shared" si="8"/>
        <v>1</v>
      </c>
    </row>
    <row r="737" ht="15.75" customHeight="1">
      <c r="A737" s="87" t="s">
        <v>2105</v>
      </c>
      <c r="B737" s="87" t="s">
        <v>101</v>
      </c>
      <c r="C737" s="88" t="s">
        <v>2106</v>
      </c>
      <c r="D737" s="88" t="s">
        <v>51</v>
      </c>
      <c r="E737" s="88">
        <v>35.0</v>
      </c>
      <c r="F737" s="89">
        <v>3500.0</v>
      </c>
      <c r="G737" s="90" t="s">
        <v>53</v>
      </c>
      <c r="H737" s="91">
        <v>46174.0</v>
      </c>
      <c r="I737" s="92" t="s">
        <v>17</v>
      </c>
      <c r="J737" s="92" t="s">
        <v>54</v>
      </c>
      <c r="K737" s="92" t="s">
        <v>66</v>
      </c>
      <c r="L737" s="92" t="s">
        <v>56</v>
      </c>
      <c r="M737" s="90" t="s">
        <v>104</v>
      </c>
      <c r="N737" s="92" t="s">
        <v>58</v>
      </c>
      <c r="O737" s="92" t="s">
        <v>89</v>
      </c>
      <c r="P737" s="87"/>
      <c r="Q737" s="87" t="s">
        <v>275</v>
      </c>
      <c r="R737" s="93" t="s">
        <v>1122</v>
      </c>
      <c r="S737" s="87"/>
      <c r="T737" s="87"/>
      <c r="U737" s="94" t="str">
        <f t="array" ref="U737">IFERROR(INDEX(DFD!$D$2:$D$1048791,MATCH($Q737,DFD!$B$2:$B$1048791,0)),"")</f>
        <v/>
      </c>
      <c r="V737" s="94" t="str">
        <f t="array" ref="V737">IFERROR(INDEX(DFD!$F$2:$F$1048791,MATCH($Q737,DFD!$B$2:$B$1048791,0)),"")</f>
        <v/>
      </c>
      <c r="W737" s="97" t="str">
        <f t="array" ref="W737">IFERROR(INDEX(DFD!$E$2:$E$1048791,MATCH($Q737,DFD!$B$2:$B$1048791,0)),"")</f>
        <v/>
      </c>
      <c r="X737" s="97" t="str">
        <f t="array" ref="X737">IFERROR(INDEX(DFD!$K$2:$K$1048791,MATCH($Q737,DFD!$B$2:$B$1048791,0)),"")</f>
        <v/>
      </c>
      <c r="Y737" s="97" t="str">
        <f t="array" ref="Y737">IFERROR(INDEX(DFD!$L$2:$L$1048790,MATCH($Q737,DFD!$B$2:$B$1048790,0)),"")</f>
        <v/>
      </c>
      <c r="Z737" s="97">
        <f t="shared" si="13"/>
        <v>45</v>
      </c>
      <c r="AA737" s="87"/>
      <c r="AB737" s="87" t="s">
        <v>78</v>
      </c>
      <c r="AC737" s="87"/>
      <c r="AD737" s="99">
        <v>46043.0</v>
      </c>
      <c r="AE737" s="100">
        <f t="shared" si="8"/>
        <v>1</v>
      </c>
    </row>
    <row r="738" ht="15.75" customHeight="1">
      <c r="A738" s="67" t="s">
        <v>2107</v>
      </c>
      <c r="B738" s="59" t="s">
        <v>155</v>
      </c>
      <c r="C738" s="60" t="s">
        <v>2108</v>
      </c>
      <c r="D738" s="60" t="s">
        <v>51</v>
      </c>
      <c r="E738" s="60">
        <v>1.0</v>
      </c>
      <c r="F738" s="72">
        <v>20000.0</v>
      </c>
      <c r="G738" s="73" t="s">
        <v>53</v>
      </c>
      <c r="H738" s="74">
        <v>46235.0</v>
      </c>
      <c r="I738" s="67" t="s">
        <v>17</v>
      </c>
      <c r="J738" s="67" t="s">
        <v>54</v>
      </c>
      <c r="K738" s="67" t="s">
        <v>66</v>
      </c>
      <c r="L738" s="67" t="s">
        <v>56</v>
      </c>
      <c r="M738" s="73" t="s">
        <v>57</v>
      </c>
      <c r="N738" s="67" t="s">
        <v>20</v>
      </c>
      <c r="O738" s="59" t="s">
        <v>69</v>
      </c>
      <c r="P738" s="59"/>
      <c r="Q738" s="59" t="s">
        <v>467</v>
      </c>
      <c r="R738" s="76" t="s">
        <v>61</v>
      </c>
      <c r="S738" s="59"/>
      <c r="T738" s="59"/>
      <c r="U738" s="77" t="str">
        <f t="array" ref="U738">IFERROR(INDEX(DFD!$D$2:$D$1048791,MATCH($Q738,DFD!$B$2:$B$1048791,0)),"")</f>
        <v/>
      </c>
      <c r="V738" s="77" t="str">
        <f t="array" ref="V738">IFERROR(INDEX(DFD!$F$2:$F$1048791,MATCH($Q738,DFD!$B$2:$B$1048791,0)),"")</f>
        <v/>
      </c>
      <c r="W738" s="84" t="str">
        <f t="array" ref="W738">IFERROR(INDEX(DFD!$E$2:$E$1048791,MATCH($Q738,DFD!$B$2:$B$1048791,0)),"")</f>
        <v/>
      </c>
      <c r="X738" s="84" t="str">
        <f t="array" ref="X738">IFERROR(INDEX(DFD!$K$2:$K$1048791,MATCH($Q738,DFD!$B$2:$B$1048791,0)),"")</f>
        <v/>
      </c>
      <c r="Y738" s="84" t="str">
        <f t="array" ref="Y738">IFERROR(INDEX(DFD!$L$2:$L$1048790,MATCH($Q738,DFD!$B$2:$B$1048790,0)),"")</f>
        <v/>
      </c>
      <c r="Z738" s="84">
        <f t="shared" si="13"/>
        <v>45</v>
      </c>
      <c r="AA738" s="59"/>
      <c r="AB738" s="59" t="s">
        <v>288</v>
      </c>
      <c r="AC738" s="59"/>
      <c r="AD738" s="85">
        <v>46043.0</v>
      </c>
      <c r="AE738" s="86">
        <f t="shared" si="8"/>
        <v>1</v>
      </c>
    </row>
    <row r="739" ht="15.75" customHeight="1">
      <c r="A739" s="92" t="s">
        <v>2109</v>
      </c>
      <c r="B739" s="92" t="s">
        <v>427</v>
      </c>
      <c r="C739" s="116" t="s">
        <v>2110</v>
      </c>
      <c r="D739" s="116" t="s">
        <v>51</v>
      </c>
      <c r="E739" s="116">
        <v>1.0</v>
      </c>
      <c r="F739" s="137">
        <v>400000.0</v>
      </c>
      <c r="G739" s="90" t="s">
        <v>437</v>
      </c>
      <c r="H739" s="118">
        <v>46266.0</v>
      </c>
      <c r="I739" s="92" t="s">
        <v>17</v>
      </c>
      <c r="J739" s="92" t="s">
        <v>54</v>
      </c>
      <c r="K739" s="92" t="s">
        <v>55</v>
      </c>
      <c r="L739" s="92" t="s">
        <v>56</v>
      </c>
      <c r="M739" s="90" t="s">
        <v>2111</v>
      </c>
      <c r="N739" s="92" t="s">
        <v>20</v>
      </c>
      <c r="O739" s="87" t="s">
        <v>69</v>
      </c>
      <c r="P739" s="87"/>
      <c r="Q739" s="87" t="s">
        <v>2112</v>
      </c>
      <c r="R739" s="93" t="s">
        <v>154</v>
      </c>
      <c r="S739" s="87"/>
      <c r="T739" s="87"/>
      <c r="U739" s="94" t="s">
        <v>2113</v>
      </c>
      <c r="V739" s="94" t="s">
        <v>1272</v>
      </c>
      <c r="W739" s="97" t="str">
        <f t="array" ref="W739">IFERROR(INDEX(DFD!$E$2:$E$1048791,MATCH($Q739,DFD!$B$2:$B$1048791,0)),"")</f>
        <v/>
      </c>
      <c r="X739" s="97" t="str">
        <f t="array" ref="X739">IFERROR(INDEX(DFD!$K$2:$K$1048791,MATCH($Q739,DFD!$B$2:$B$1048791,0)),"")</f>
        <v/>
      </c>
      <c r="Y739" s="97" t="str">
        <f t="array" ref="Y739">IFERROR(INDEX(DFD!$L$2:$L$1048790,MATCH($Q739,DFD!$B$2:$B$1048790,0)),"")</f>
        <v/>
      </c>
      <c r="Z739" s="97">
        <f t="shared" si="13"/>
        <v>45</v>
      </c>
      <c r="AA739" s="87"/>
      <c r="AB739" s="87" t="s">
        <v>78</v>
      </c>
      <c r="AC739" s="87"/>
      <c r="AD739" s="99">
        <v>46043.0</v>
      </c>
      <c r="AE739" s="100">
        <f t="shared" si="8"/>
        <v>1</v>
      </c>
    </row>
    <row r="740" ht="15.75" customHeight="1">
      <c r="A740" s="59" t="s">
        <v>2114</v>
      </c>
      <c r="B740" s="59" t="s">
        <v>52</v>
      </c>
      <c r="C740" s="60" t="s">
        <v>2115</v>
      </c>
      <c r="D740" s="60" t="s">
        <v>2116</v>
      </c>
      <c r="E740" s="60">
        <v>1.0</v>
      </c>
      <c r="F740" s="72">
        <v>12000.0</v>
      </c>
      <c r="G740" s="73" t="s">
        <v>53</v>
      </c>
      <c r="H740" s="74">
        <v>46235.0</v>
      </c>
      <c r="I740" s="67" t="s">
        <v>17</v>
      </c>
      <c r="J740" s="67" t="s">
        <v>54</v>
      </c>
      <c r="K740" s="67" t="s">
        <v>55</v>
      </c>
      <c r="L740" s="67" t="s">
        <v>56</v>
      </c>
      <c r="M740" s="73" t="s">
        <v>68</v>
      </c>
      <c r="N740" s="67" t="s">
        <v>58</v>
      </c>
      <c r="O740" s="67" t="s">
        <v>89</v>
      </c>
      <c r="P740" s="59"/>
      <c r="Q740" s="59" t="s">
        <v>52</v>
      </c>
      <c r="R740" s="76" t="s">
        <v>61</v>
      </c>
      <c r="S740" s="59"/>
      <c r="T740" s="59"/>
      <c r="U740" s="77" t="str">
        <f t="array" ref="U740">IFERROR(INDEX(DFD!$D$2:$D$1048791,MATCH($Q740,DFD!$B$2:$B$1048791,0)),"")</f>
        <v/>
      </c>
      <c r="V740" s="77" t="str">
        <f t="array" ref="V740">IFERROR(INDEX(DFD!$F$2:$F$1048791,MATCH($Q740,DFD!$B$2:$B$1048791,0)),"")</f>
        <v/>
      </c>
      <c r="W740" s="84" t="str">
        <f t="array" ref="W740">IFERROR(INDEX(DFD!$E$2:$E$1048791,MATCH($Q740,DFD!$B$2:$B$1048791,0)),"")</f>
        <v/>
      </c>
      <c r="X740" s="84" t="str">
        <f t="array" ref="X740">IFERROR(INDEX(DFD!$K$2:$K$1048791,MATCH($Q740,DFD!$B$2:$B$1048791,0)),"")</f>
        <v/>
      </c>
      <c r="Y740" s="84" t="str">
        <f t="array" ref="Y740">IFERROR(INDEX(DFD!$L$2:$L$1048790,MATCH($Q740,DFD!$B$2:$B$1048790,0)),"")</f>
        <v/>
      </c>
      <c r="Z740" s="84">
        <f t="shared" si="13"/>
        <v>45</v>
      </c>
      <c r="AA740" s="59"/>
      <c r="AB740" s="59" t="s">
        <v>72</v>
      </c>
      <c r="AC740" s="59"/>
      <c r="AD740" s="85">
        <v>46043.0</v>
      </c>
      <c r="AE740" s="86">
        <f t="shared" si="8"/>
        <v>1</v>
      </c>
    </row>
    <row r="741" ht="15.75" customHeight="1">
      <c r="A741" s="92" t="s">
        <v>2117</v>
      </c>
      <c r="B741" s="87" t="s">
        <v>49</v>
      </c>
      <c r="C741" s="88" t="s">
        <v>2118</v>
      </c>
      <c r="D741" s="88" t="s">
        <v>51</v>
      </c>
      <c r="E741" s="88">
        <v>1.0</v>
      </c>
      <c r="F741" s="89">
        <v>180000.0</v>
      </c>
      <c r="G741" s="90" t="s">
        <v>53</v>
      </c>
      <c r="H741" s="91">
        <v>46266.0</v>
      </c>
      <c r="I741" s="92" t="s">
        <v>17</v>
      </c>
      <c r="J741" s="92" t="s">
        <v>54</v>
      </c>
      <c r="K741" s="92" t="s">
        <v>55</v>
      </c>
      <c r="L741" s="92" t="s">
        <v>56</v>
      </c>
      <c r="M741" s="90" t="s">
        <v>132</v>
      </c>
      <c r="N741" s="92" t="s">
        <v>20</v>
      </c>
      <c r="O741" s="87" t="s">
        <v>69</v>
      </c>
      <c r="P741" s="87"/>
      <c r="Q741" s="87" t="s">
        <v>2119</v>
      </c>
      <c r="R741" s="93" t="s">
        <v>114</v>
      </c>
      <c r="S741" s="87"/>
      <c r="T741" s="87"/>
      <c r="U741" s="92" t="s">
        <v>2120</v>
      </c>
      <c r="V741" s="94" t="s">
        <v>62</v>
      </c>
      <c r="W741" s="97" t="str">
        <f t="array" ref="W741">IFERROR(INDEX(DFD!$E$2:$E$1048791,MATCH($Q741,DFD!$B$2:$B$1048791,0)),"")</f>
        <v/>
      </c>
      <c r="X741" s="97" t="str">
        <f t="array" ref="X741">IFERROR(INDEX(DFD!$K$2:$K$1048791,MATCH($Q741,DFD!$B$2:$B$1048791,0)),"")</f>
        <v/>
      </c>
      <c r="Y741" s="97" t="str">
        <f t="array" ref="Y741">IFERROR(INDEX(DFD!$L$2:$L$1048790,MATCH($Q741,DFD!$B$2:$B$1048790,0)),"")</f>
        <v/>
      </c>
      <c r="Z741" s="97">
        <f t="shared" si="13"/>
        <v>45</v>
      </c>
      <c r="AA741" s="87"/>
      <c r="AB741" s="87" t="s">
        <v>288</v>
      </c>
      <c r="AC741" s="87"/>
      <c r="AD741" s="99">
        <v>46043.0</v>
      </c>
      <c r="AE741" s="100">
        <f t="shared" si="8"/>
        <v>1</v>
      </c>
    </row>
    <row r="742" ht="15.75" customHeight="1">
      <c r="A742" s="67" t="s">
        <v>2121</v>
      </c>
      <c r="B742" s="59" t="s">
        <v>155</v>
      </c>
      <c r="C742" s="60" t="s">
        <v>2122</v>
      </c>
      <c r="D742" s="60" t="s">
        <v>51</v>
      </c>
      <c r="E742" s="60">
        <v>1.0</v>
      </c>
      <c r="F742" s="72">
        <v>3000.0</v>
      </c>
      <c r="G742" s="73" t="s">
        <v>53</v>
      </c>
      <c r="H742" s="74">
        <v>46174.0</v>
      </c>
      <c r="I742" s="67" t="s">
        <v>17</v>
      </c>
      <c r="J742" s="67" t="s">
        <v>54</v>
      </c>
      <c r="K742" s="67" t="s">
        <v>55</v>
      </c>
      <c r="L742" s="67" t="s">
        <v>56</v>
      </c>
      <c r="M742" s="73" t="s">
        <v>112</v>
      </c>
      <c r="N742" s="67" t="s">
        <v>20</v>
      </c>
      <c r="O742" s="59" t="s">
        <v>69</v>
      </c>
      <c r="P742" s="59"/>
      <c r="Q742" s="59" t="s">
        <v>2123</v>
      </c>
      <c r="R742" s="76" t="s">
        <v>2124</v>
      </c>
      <c r="S742" s="59"/>
      <c r="T742" s="59"/>
      <c r="U742" s="77" t="str">
        <f t="array" ref="U742">IFERROR(INDEX(DFD!$D$2:$D$1048791,MATCH($Q742,DFD!$B$2:$B$1048791,0)),"")</f>
        <v/>
      </c>
      <c r="V742" s="77" t="str">
        <f t="array" ref="V742">IFERROR(INDEX(DFD!$F$2:$F$1048791,MATCH($Q742,DFD!$B$2:$B$1048791,0)),"")</f>
        <v/>
      </c>
      <c r="W742" s="84" t="str">
        <f t="array" ref="W742">IFERROR(INDEX(DFD!$E$2:$E$1048791,MATCH($Q742,DFD!$B$2:$B$1048791,0)),"")</f>
        <v/>
      </c>
      <c r="X742" s="84" t="str">
        <f t="array" ref="X742">IFERROR(INDEX(DFD!$K$2:$K$1048791,MATCH($Q742,DFD!$B$2:$B$1048791,0)),"")</f>
        <v/>
      </c>
      <c r="Y742" s="84" t="str">
        <f t="array" ref="Y742">IFERROR(INDEX(DFD!$L$2:$L$1048790,MATCH($Q742,DFD!$B$2:$B$1048790,0)),"")</f>
        <v/>
      </c>
      <c r="Z742" s="84">
        <f t="shared" si="13"/>
        <v>45</v>
      </c>
      <c r="AA742" s="59"/>
      <c r="AB742" s="59" t="s">
        <v>78</v>
      </c>
      <c r="AC742" s="59"/>
      <c r="AD742" s="85">
        <v>46043.0</v>
      </c>
      <c r="AE742" s="86">
        <f t="shared" si="8"/>
        <v>1</v>
      </c>
    </row>
    <row r="743" ht="15.75" customHeight="1">
      <c r="A743" s="87" t="s">
        <v>2125</v>
      </c>
      <c r="B743" s="71" t="s">
        <v>464</v>
      </c>
      <c r="C743" s="116" t="s">
        <v>2126</v>
      </c>
      <c r="D743" s="88" t="s">
        <v>51</v>
      </c>
      <c r="E743" s="88">
        <v>1.0</v>
      </c>
      <c r="F743" s="89">
        <v>1400000.0</v>
      </c>
      <c r="G743" s="90" t="s">
        <v>437</v>
      </c>
      <c r="H743" s="91">
        <v>46266.0</v>
      </c>
      <c r="I743" s="92" t="s">
        <v>17</v>
      </c>
      <c r="J743" s="92" t="s">
        <v>54</v>
      </c>
      <c r="K743" s="92" t="s">
        <v>55</v>
      </c>
      <c r="L743" s="92" t="s">
        <v>197</v>
      </c>
      <c r="M743" s="90" t="s">
        <v>1321</v>
      </c>
      <c r="N743" s="92" t="s">
        <v>5</v>
      </c>
      <c r="O743" s="92" t="s">
        <v>89</v>
      </c>
      <c r="P743" s="87"/>
      <c r="Q743" s="87" t="s">
        <v>1814</v>
      </c>
      <c r="R743" s="93" t="s">
        <v>1810</v>
      </c>
      <c r="S743" s="87"/>
      <c r="T743" s="87"/>
      <c r="U743" s="94" t="s">
        <v>1815</v>
      </c>
      <c r="V743" s="94" t="s">
        <v>280</v>
      </c>
      <c r="W743" s="97">
        <v>46027.0</v>
      </c>
      <c r="X743" s="94" t="s">
        <v>1816</v>
      </c>
      <c r="Y743" s="97">
        <v>46029.0</v>
      </c>
      <c r="Z743" s="97">
        <f t="shared" si="13"/>
        <v>46074</v>
      </c>
      <c r="AA743" s="87"/>
      <c r="AB743" s="87" t="s">
        <v>288</v>
      </c>
      <c r="AC743" s="87"/>
      <c r="AD743" s="99">
        <v>46043.0</v>
      </c>
      <c r="AE743" s="100">
        <f t="shared" si="8"/>
        <v>1</v>
      </c>
    </row>
    <row r="744" ht="15.75" customHeight="1">
      <c r="A744" s="67" t="s">
        <v>2127</v>
      </c>
      <c r="B744" s="59" t="s">
        <v>464</v>
      </c>
      <c r="C744" s="60" t="s">
        <v>2128</v>
      </c>
      <c r="D744" s="60" t="s">
        <v>51</v>
      </c>
      <c r="E744" s="60">
        <v>1.0</v>
      </c>
      <c r="F744" s="72">
        <v>54910.0</v>
      </c>
      <c r="G744" s="73" t="s">
        <v>53</v>
      </c>
      <c r="H744" s="74">
        <v>46031.0</v>
      </c>
      <c r="I744" s="67" t="s">
        <v>17</v>
      </c>
      <c r="J744" s="67" t="s">
        <v>54</v>
      </c>
      <c r="K744" s="67" t="s">
        <v>55</v>
      </c>
      <c r="L744" s="67" t="s">
        <v>56</v>
      </c>
      <c r="M744" s="73" t="s">
        <v>117</v>
      </c>
      <c r="N744" s="67" t="s">
        <v>20</v>
      </c>
      <c r="O744" s="59" t="s">
        <v>69</v>
      </c>
      <c r="P744" s="59"/>
      <c r="Q744" s="59" t="s">
        <v>467</v>
      </c>
      <c r="R744" s="76" t="s">
        <v>1810</v>
      </c>
      <c r="S744" s="59"/>
      <c r="T744" s="59"/>
      <c r="U744" s="67" t="s">
        <v>1811</v>
      </c>
      <c r="V744" s="77" t="str">
        <f t="array" ref="V744">IFERROR(INDEX(DFD!$F$2:$F$1048791,MATCH($Q744,DFD!$B$2:$B$1048791,0)),"")</f>
        <v/>
      </c>
      <c r="W744" s="84" t="str">
        <f t="array" ref="W744">IFERROR(INDEX(DFD!$E$2:$E$1048791,MATCH($Q744,DFD!$B$2:$B$1048791,0)),"")</f>
        <v/>
      </c>
      <c r="X744" s="84" t="str">
        <f t="array" ref="X744">IFERROR(INDEX(DFD!$K$2:$K$1048791,MATCH($Q744,DFD!$B$2:$B$1048791,0)),"")</f>
        <v/>
      </c>
      <c r="Y744" s="84" t="str">
        <f t="array" ref="Y744">IFERROR(INDEX(DFD!$L$2:$L$1048790,MATCH($Q744,DFD!$B$2:$B$1048790,0)),"")</f>
        <v/>
      </c>
      <c r="Z744" s="84">
        <f t="shared" si="13"/>
        <v>45</v>
      </c>
      <c r="AA744" s="59"/>
      <c r="AB744" s="59" t="s">
        <v>72</v>
      </c>
      <c r="AC744" s="59"/>
      <c r="AD744" s="85">
        <v>46043.0</v>
      </c>
      <c r="AE744" s="86">
        <f t="shared" si="8"/>
        <v>1</v>
      </c>
    </row>
    <row r="745" ht="15.75" customHeight="1">
      <c r="A745" s="92" t="s">
        <v>2129</v>
      </c>
      <c r="B745" s="87" t="s">
        <v>101</v>
      </c>
      <c r="C745" s="88" t="s">
        <v>2130</v>
      </c>
      <c r="D745" s="88" t="s">
        <v>51</v>
      </c>
      <c r="E745" s="88">
        <v>1.0</v>
      </c>
      <c r="F745" s="89">
        <v>20000.0</v>
      </c>
      <c r="G745" s="90" t="s">
        <v>53</v>
      </c>
      <c r="H745" s="91">
        <v>46235.0</v>
      </c>
      <c r="I745" s="92" t="s">
        <v>17</v>
      </c>
      <c r="J745" s="92" t="s">
        <v>54</v>
      </c>
      <c r="K745" s="92" t="s">
        <v>55</v>
      </c>
      <c r="L745" s="92" t="s">
        <v>56</v>
      </c>
      <c r="M745" s="90" t="s">
        <v>68</v>
      </c>
      <c r="N745" s="92" t="s">
        <v>20</v>
      </c>
      <c r="O745" s="87" t="s">
        <v>69</v>
      </c>
      <c r="P745" s="87"/>
      <c r="Q745" s="87" t="s">
        <v>2123</v>
      </c>
      <c r="R745" s="93" t="s">
        <v>2124</v>
      </c>
      <c r="S745" s="87"/>
      <c r="T745" s="87"/>
      <c r="U745" s="94" t="str">
        <f t="array" ref="U745">IFERROR(INDEX(DFD!$D$2:$D$1048791,MATCH($Q745,DFD!$B$2:$B$1048791,0)),"")</f>
        <v/>
      </c>
      <c r="V745" s="94" t="str">
        <f t="array" ref="V745">IFERROR(INDEX(DFD!$F$2:$F$1048791,MATCH($Q745,DFD!$B$2:$B$1048791,0)),"")</f>
        <v/>
      </c>
      <c r="W745" s="97" t="str">
        <f t="array" ref="W745">IFERROR(INDEX(DFD!$E$2:$E$1048791,MATCH($Q745,DFD!$B$2:$B$1048791,0)),"")</f>
        <v/>
      </c>
      <c r="X745" s="97" t="str">
        <f t="array" ref="X745">IFERROR(INDEX(DFD!$K$2:$K$1048791,MATCH($Q745,DFD!$B$2:$B$1048791,0)),"")</f>
        <v/>
      </c>
      <c r="Y745" s="97" t="str">
        <f t="array" ref="Y745">IFERROR(INDEX(DFD!$L$2:$L$1048790,MATCH($Q745,DFD!$B$2:$B$1048790,0)),"")</f>
        <v/>
      </c>
      <c r="Z745" s="97">
        <f t="shared" si="13"/>
        <v>45</v>
      </c>
      <c r="AA745" s="87"/>
      <c r="AB745" s="87" t="s">
        <v>78</v>
      </c>
      <c r="AC745" s="87"/>
      <c r="AD745" s="99">
        <v>46043.0</v>
      </c>
      <c r="AE745" s="100">
        <f t="shared" si="8"/>
        <v>1</v>
      </c>
    </row>
    <row r="746" ht="15.75" customHeight="1">
      <c r="A746" s="59" t="s">
        <v>2131</v>
      </c>
      <c r="B746" s="59" t="s">
        <v>52</v>
      </c>
      <c r="C746" s="60" t="s">
        <v>2132</v>
      </c>
      <c r="D746" s="60" t="s">
        <v>2116</v>
      </c>
      <c r="E746" s="60">
        <v>1.0</v>
      </c>
      <c r="F746" s="72">
        <v>60000.0</v>
      </c>
      <c r="G746" s="73" t="s">
        <v>53</v>
      </c>
      <c r="H746" s="74">
        <v>46266.0</v>
      </c>
      <c r="I746" s="67" t="s">
        <v>17</v>
      </c>
      <c r="J746" s="67" t="s">
        <v>54</v>
      </c>
      <c r="K746" s="67" t="s">
        <v>55</v>
      </c>
      <c r="L746" s="67" t="s">
        <v>56</v>
      </c>
      <c r="M746" s="73" t="s">
        <v>68</v>
      </c>
      <c r="N746" s="67" t="s">
        <v>58</v>
      </c>
      <c r="O746" s="67" t="s">
        <v>89</v>
      </c>
      <c r="P746" s="59"/>
      <c r="Q746" s="59" t="s">
        <v>52</v>
      </c>
      <c r="R746" s="76" t="s">
        <v>61</v>
      </c>
      <c r="S746" s="59"/>
      <c r="T746" s="59"/>
      <c r="U746" s="77" t="str">
        <f t="array" ref="U746">IFERROR(INDEX(DFD!$D$2:$D$1048791,MATCH($Q746,DFD!$B$2:$B$1048791,0)),"")</f>
        <v/>
      </c>
      <c r="V746" s="77" t="str">
        <f t="array" ref="V746">IFERROR(INDEX(DFD!$F$2:$F$1048791,MATCH($Q746,DFD!$B$2:$B$1048791,0)),"")</f>
        <v/>
      </c>
      <c r="W746" s="84" t="str">
        <f t="array" ref="W746">IFERROR(INDEX(DFD!$E$2:$E$1048791,MATCH($Q746,DFD!$B$2:$B$1048791,0)),"")</f>
        <v/>
      </c>
      <c r="X746" s="84" t="str">
        <f t="array" ref="X746">IFERROR(INDEX(DFD!$K$2:$K$1048791,MATCH($Q746,DFD!$B$2:$B$1048791,0)),"")</f>
        <v/>
      </c>
      <c r="Y746" s="84" t="str">
        <f t="array" ref="Y746">IFERROR(INDEX(DFD!$L$2:$L$1048790,MATCH($Q746,DFD!$B$2:$B$1048790,0)),"")</f>
        <v/>
      </c>
      <c r="Z746" s="84">
        <f t="shared" si="13"/>
        <v>45</v>
      </c>
      <c r="AA746" s="59"/>
      <c r="AB746" s="59" t="s">
        <v>72</v>
      </c>
      <c r="AC746" s="59"/>
      <c r="AD746" s="85">
        <v>46043.0</v>
      </c>
      <c r="AE746" s="86">
        <f t="shared" si="8"/>
        <v>1</v>
      </c>
    </row>
    <row r="747" ht="15.75" customHeight="1">
      <c r="A747" s="87" t="s">
        <v>2133</v>
      </c>
      <c r="B747" s="87" t="s">
        <v>52</v>
      </c>
      <c r="C747" s="88" t="s">
        <v>2134</v>
      </c>
      <c r="D747" s="88" t="s">
        <v>2116</v>
      </c>
      <c r="E747" s="88">
        <v>1.0</v>
      </c>
      <c r="F747" s="89">
        <v>25000.0</v>
      </c>
      <c r="G747" s="90" t="s">
        <v>53</v>
      </c>
      <c r="H747" s="91">
        <v>46235.0</v>
      </c>
      <c r="I747" s="92" t="s">
        <v>17</v>
      </c>
      <c r="J747" s="92" t="s">
        <v>54</v>
      </c>
      <c r="K747" s="92" t="s">
        <v>55</v>
      </c>
      <c r="L747" s="92" t="s">
        <v>56</v>
      </c>
      <c r="M747" s="90" t="s">
        <v>167</v>
      </c>
      <c r="N747" s="92" t="s">
        <v>58</v>
      </c>
      <c r="O747" s="87" t="s">
        <v>69</v>
      </c>
      <c r="P747" s="87"/>
      <c r="Q747" s="87" t="s">
        <v>52</v>
      </c>
      <c r="R747" s="93" t="s">
        <v>61</v>
      </c>
      <c r="S747" s="87"/>
      <c r="T747" s="87"/>
      <c r="U747" s="94" t="str">
        <f t="array" ref="U747">IFERROR(INDEX(DFD!$D$2:$D$1048791,MATCH($Q747,DFD!$B$2:$B$1048791,0)),"")</f>
        <v/>
      </c>
      <c r="V747" s="94" t="str">
        <f t="array" ref="V747">IFERROR(INDEX(DFD!$F$2:$F$1048791,MATCH($Q747,DFD!$B$2:$B$1048791,0)),"")</f>
        <v/>
      </c>
      <c r="W747" s="97" t="str">
        <f t="array" ref="W747">IFERROR(INDEX(DFD!$E$2:$E$1048791,MATCH($Q747,DFD!$B$2:$B$1048791,0)),"")</f>
        <v/>
      </c>
      <c r="X747" s="97" t="str">
        <f t="array" ref="X747">IFERROR(INDEX(DFD!$K$2:$K$1048791,MATCH($Q747,DFD!$B$2:$B$1048791,0)),"")</f>
        <v/>
      </c>
      <c r="Y747" s="97" t="str">
        <f t="array" ref="Y747">IFERROR(INDEX(DFD!$L$2:$L$1048790,MATCH($Q747,DFD!$B$2:$B$1048790,0)),"")</f>
        <v/>
      </c>
      <c r="Z747" s="97">
        <f t="shared" si="13"/>
        <v>45</v>
      </c>
      <c r="AA747" s="87"/>
      <c r="AB747" s="87" t="s">
        <v>72</v>
      </c>
      <c r="AC747" s="87"/>
      <c r="AD747" s="99">
        <v>46043.0</v>
      </c>
      <c r="AE747" s="100">
        <f t="shared" si="8"/>
        <v>1</v>
      </c>
    </row>
    <row r="748" ht="15.75" customHeight="1">
      <c r="A748" s="59" t="s">
        <v>2135</v>
      </c>
      <c r="B748" s="59" t="s">
        <v>52</v>
      </c>
      <c r="C748" s="60" t="s">
        <v>2136</v>
      </c>
      <c r="D748" s="60" t="s">
        <v>2116</v>
      </c>
      <c r="E748" s="60">
        <v>1.0</v>
      </c>
      <c r="F748" s="72">
        <v>12000.0</v>
      </c>
      <c r="G748" s="73" t="s">
        <v>53</v>
      </c>
      <c r="H748" s="74">
        <v>46235.0</v>
      </c>
      <c r="I748" s="67" t="s">
        <v>17</v>
      </c>
      <c r="J748" s="67" t="s">
        <v>54</v>
      </c>
      <c r="K748" s="67" t="s">
        <v>55</v>
      </c>
      <c r="L748" s="67" t="s">
        <v>56</v>
      </c>
      <c r="M748" s="73" t="s">
        <v>167</v>
      </c>
      <c r="N748" s="67" t="s">
        <v>58</v>
      </c>
      <c r="O748" s="59" t="s">
        <v>69</v>
      </c>
      <c r="P748" s="59"/>
      <c r="Q748" s="59" t="s">
        <v>52</v>
      </c>
      <c r="R748" s="76" t="s">
        <v>61</v>
      </c>
      <c r="S748" s="59"/>
      <c r="T748" s="59"/>
      <c r="U748" s="77" t="str">
        <f t="array" ref="U748">IFERROR(INDEX(DFD!$D$2:$D$1048791,MATCH($Q748,DFD!$B$2:$B$1048791,0)),"")</f>
        <v/>
      </c>
      <c r="V748" s="77" t="str">
        <f t="array" ref="V748">IFERROR(INDEX(DFD!$F$2:$F$1048791,MATCH($Q748,DFD!$B$2:$B$1048791,0)),"")</f>
        <v/>
      </c>
      <c r="W748" s="84" t="str">
        <f t="array" ref="W748">IFERROR(INDEX(DFD!$E$2:$E$1048791,MATCH($Q748,DFD!$B$2:$B$1048791,0)),"")</f>
        <v/>
      </c>
      <c r="X748" s="84" t="str">
        <f t="array" ref="X748">IFERROR(INDEX(DFD!$K$2:$K$1048791,MATCH($Q748,DFD!$B$2:$B$1048791,0)),"")</f>
        <v/>
      </c>
      <c r="Y748" s="84" t="str">
        <f t="array" ref="Y748">IFERROR(INDEX(DFD!$L$2:$L$1048790,MATCH($Q748,DFD!$B$2:$B$1048790,0)),"")</f>
        <v/>
      </c>
      <c r="Z748" s="84">
        <f t="shared" si="13"/>
        <v>45</v>
      </c>
      <c r="AA748" s="59"/>
      <c r="AB748" s="59" t="s">
        <v>72</v>
      </c>
      <c r="AC748" s="59"/>
      <c r="AD748" s="85">
        <v>46043.0</v>
      </c>
      <c r="AE748" s="86">
        <f t="shared" si="8"/>
        <v>1</v>
      </c>
    </row>
    <row r="749" ht="15.75" customHeight="1">
      <c r="A749" s="87" t="s">
        <v>2137</v>
      </c>
      <c r="B749" s="87" t="s">
        <v>52</v>
      </c>
      <c r="C749" s="88" t="s">
        <v>2138</v>
      </c>
      <c r="D749" s="88" t="s">
        <v>2116</v>
      </c>
      <c r="E749" s="88">
        <v>1.0</v>
      </c>
      <c r="F749" s="89">
        <v>15000.0</v>
      </c>
      <c r="G749" s="90" t="s">
        <v>53</v>
      </c>
      <c r="H749" s="91">
        <v>46235.0</v>
      </c>
      <c r="I749" s="92" t="s">
        <v>17</v>
      </c>
      <c r="J749" s="92" t="s">
        <v>54</v>
      </c>
      <c r="K749" s="92" t="s">
        <v>55</v>
      </c>
      <c r="L749" s="92" t="s">
        <v>56</v>
      </c>
      <c r="M749" s="90" t="s">
        <v>132</v>
      </c>
      <c r="N749" s="92" t="s">
        <v>58</v>
      </c>
      <c r="O749" s="92" t="s">
        <v>89</v>
      </c>
      <c r="P749" s="87"/>
      <c r="Q749" s="87" t="s">
        <v>52</v>
      </c>
      <c r="R749" s="93" t="s">
        <v>61</v>
      </c>
      <c r="S749" s="87"/>
      <c r="T749" s="87"/>
      <c r="U749" s="94" t="str">
        <f t="array" ref="U749">IFERROR(INDEX(DFD!$D$2:$D$1048791,MATCH($Q749,DFD!$B$2:$B$1048791,0)),"")</f>
        <v/>
      </c>
      <c r="V749" s="94" t="str">
        <f t="array" ref="V749">IFERROR(INDEX(DFD!$F$2:$F$1048791,MATCH($Q749,DFD!$B$2:$B$1048791,0)),"")</f>
        <v/>
      </c>
      <c r="W749" s="97" t="str">
        <f t="array" ref="W749">IFERROR(INDEX(DFD!$E$2:$E$1048791,MATCH($Q749,DFD!$B$2:$B$1048791,0)),"")</f>
        <v/>
      </c>
      <c r="X749" s="97" t="str">
        <f t="array" ref="X749">IFERROR(INDEX(DFD!$K$2:$K$1048791,MATCH($Q749,DFD!$B$2:$B$1048791,0)),"")</f>
        <v/>
      </c>
      <c r="Y749" s="97" t="str">
        <f t="array" ref="Y749">IFERROR(INDEX(DFD!$L$2:$L$1048790,MATCH($Q749,DFD!$B$2:$B$1048790,0)),"")</f>
        <v/>
      </c>
      <c r="Z749" s="97">
        <f t="shared" si="13"/>
        <v>45</v>
      </c>
      <c r="AA749" s="87"/>
      <c r="AB749" s="87" t="s">
        <v>72</v>
      </c>
      <c r="AC749" s="87"/>
      <c r="AD749" s="99">
        <v>46043.0</v>
      </c>
      <c r="AE749" s="100">
        <f t="shared" si="8"/>
        <v>1</v>
      </c>
    </row>
    <row r="750" ht="15.75" customHeight="1">
      <c r="A750" s="59" t="s">
        <v>2139</v>
      </c>
      <c r="B750" s="59" t="s">
        <v>52</v>
      </c>
      <c r="C750" s="60" t="s">
        <v>2140</v>
      </c>
      <c r="D750" s="60" t="s">
        <v>2116</v>
      </c>
      <c r="E750" s="60">
        <v>1.0</v>
      </c>
      <c r="F750" s="72">
        <v>120000.0</v>
      </c>
      <c r="G750" s="73" t="s">
        <v>53</v>
      </c>
      <c r="H750" s="74">
        <v>46266.0</v>
      </c>
      <c r="I750" s="67" t="s">
        <v>17</v>
      </c>
      <c r="J750" s="67" t="s">
        <v>54</v>
      </c>
      <c r="K750" s="67" t="s">
        <v>55</v>
      </c>
      <c r="L750" s="67" t="s">
        <v>56</v>
      </c>
      <c r="M750" s="73" t="s">
        <v>167</v>
      </c>
      <c r="N750" s="67" t="s">
        <v>58</v>
      </c>
      <c r="O750" s="59" t="s">
        <v>69</v>
      </c>
      <c r="P750" s="59"/>
      <c r="Q750" s="59" t="s">
        <v>52</v>
      </c>
      <c r="R750" s="76" t="s">
        <v>61</v>
      </c>
      <c r="S750" s="59"/>
      <c r="T750" s="59"/>
      <c r="U750" s="77" t="str">
        <f t="array" ref="U750">IFERROR(INDEX(DFD!$D$2:$D$1048791,MATCH($Q750,DFD!$B$2:$B$1048791,0)),"")</f>
        <v/>
      </c>
      <c r="V750" s="77" t="str">
        <f t="array" ref="V750">IFERROR(INDEX(DFD!$F$2:$F$1048791,MATCH($Q750,DFD!$B$2:$B$1048791,0)),"")</f>
        <v/>
      </c>
      <c r="W750" s="84" t="str">
        <f t="array" ref="W750">IFERROR(INDEX(DFD!$E$2:$E$1048791,MATCH($Q750,DFD!$B$2:$B$1048791,0)),"")</f>
        <v/>
      </c>
      <c r="X750" s="84" t="str">
        <f t="array" ref="X750">IFERROR(INDEX(DFD!$K$2:$K$1048791,MATCH($Q750,DFD!$B$2:$B$1048791,0)),"")</f>
        <v/>
      </c>
      <c r="Y750" s="84" t="str">
        <f t="array" ref="Y750">IFERROR(INDEX(DFD!$L$2:$L$1048790,MATCH($Q750,DFD!$B$2:$B$1048790,0)),"")</f>
        <v/>
      </c>
      <c r="Z750" s="84">
        <f t="shared" si="13"/>
        <v>45</v>
      </c>
      <c r="AA750" s="59"/>
      <c r="AB750" s="59" t="s">
        <v>72</v>
      </c>
      <c r="AC750" s="59"/>
      <c r="AD750" s="85">
        <v>46043.0</v>
      </c>
      <c r="AE750" s="86">
        <f t="shared" si="8"/>
        <v>1</v>
      </c>
    </row>
    <row r="751" ht="15.75" customHeight="1">
      <c r="A751" s="87" t="s">
        <v>2141</v>
      </c>
      <c r="B751" s="87" t="s">
        <v>52</v>
      </c>
      <c r="C751" s="88" t="s">
        <v>2142</v>
      </c>
      <c r="D751" s="88" t="s">
        <v>2116</v>
      </c>
      <c r="E751" s="88">
        <v>1.0</v>
      </c>
      <c r="F751" s="89">
        <v>12000.0</v>
      </c>
      <c r="G751" s="90" t="s">
        <v>53</v>
      </c>
      <c r="H751" s="91">
        <v>46235.0</v>
      </c>
      <c r="I751" s="92" t="s">
        <v>17</v>
      </c>
      <c r="J751" s="92" t="s">
        <v>54</v>
      </c>
      <c r="K751" s="92" t="s">
        <v>55</v>
      </c>
      <c r="L751" s="92" t="s">
        <v>56</v>
      </c>
      <c r="M751" s="90" t="s">
        <v>68</v>
      </c>
      <c r="N751" s="92" t="s">
        <v>58</v>
      </c>
      <c r="O751" s="87" t="s">
        <v>69</v>
      </c>
      <c r="P751" s="87"/>
      <c r="Q751" s="87" t="s">
        <v>52</v>
      </c>
      <c r="R751" s="93" t="s">
        <v>61</v>
      </c>
      <c r="S751" s="87"/>
      <c r="T751" s="87"/>
      <c r="U751" s="94" t="str">
        <f t="array" ref="U751">IFERROR(INDEX(DFD!$D$2:$D$1048791,MATCH($Q751,DFD!$B$2:$B$1048791,0)),"")</f>
        <v/>
      </c>
      <c r="V751" s="94" t="str">
        <f t="array" ref="V751">IFERROR(INDEX(DFD!$F$2:$F$1048791,MATCH($Q751,DFD!$B$2:$B$1048791,0)),"")</f>
        <v/>
      </c>
      <c r="W751" s="97" t="str">
        <f t="array" ref="W751">IFERROR(INDEX(DFD!$E$2:$E$1048791,MATCH($Q751,DFD!$B$2:$B$1048791,0)),"")</f>
        <v/>
      </c>
      <c r="X751" s="97" t="str">
        <f t="array" ref="X751">IFERROR(INDEX(DFD!$K$2:$K$1048791,MATCH($Q751,DFD!$B$2:$B$1048791,0)),"")</f>
        <v/>
      </c>
      <c r="Y751" s="97" t="str">
        <f t="array" ref="Y751">IFERROR(INDEX(DFD!$L$2:$L$1048790,MATCH($Q751,DFD!$B$2:$B$1048790,0)),"")</f>
        <v/>
      </c>
      <c r="Z751" s="97">
        <f t="shared" si="13"/>
        <v>45</v>
      </c>
      <c r="AA751" s="87"/>
      <c r="AB751" s="87" t="s">
        <v>72</v>
      </c>
      <c r="AC751" s="87"/>
      <c r="AD751" s="99">
        <v>46043.0</v>
      </c>
      <c r="AE751" s="100">
        <f t="shared" si="8"/>
        <v>1</v>
      </c>
    </row>
    <row r="752" ht="15.75" customHeight="1">
      <c r="A752" s="59" t="s">
        <v>2143</v>
      </c>
      <c r="B752" s="59" t="s">
        <v>52</v>
      </c>
      <c r="C752" s="60" t="s">
        <v>2144</v>
      </c>
      <c r="D752" s="60" t="s">
        <v>2116</v>
      </c>
      <c r="E752" s="60">
        <v>1.0</v>
      </c>
      <c r="F752" s="72">
        <v>50000.0</v>
      </c>
      <c r="G752" s="73" t="s">
        <v>53</v>
      </c>
      <c r="H752" s="74">
        <v>46266.0</v>
      </c>
      <c r="I752" s="67" t="s">
        <v>17</v>
      </c>
      <c r="J752" s="67" t="s">
        <v>54</v>
      </c>
      <c r="K752" s="67" t="s">
        <v>55</v>
      </c>
      <c r="L752" s="67" t="s">
        <v>56</v>
      </c>
      <c r="M752" s="73" t="s">
        <v>68</v>
      </c>
      <c r="N752" s="67" t="s">
        <v>58</v>
      </c>
      <c r="O752" s="67" t="s">
        <v>89</v>
      </c>
      <c r="P752" s="59"/>
      <c r="Q752" s="59" t="s">
        <v>52</v>
      </c>
      <c r="R752" s="76" t="s">
        <v>61</v>
      </c>
      <c r="S752" s="59"/>
      <c r="T752" s="59"/>
      <c r="U752" s="77" t="str">
        <f t="array" ref="U752">IFERROR(INDEX(DFD!$D$2:$D$1048791,MATCH($Q752,DFD!$B$2:$B$1048791,0)),"")</f>
        <v/>
      </c>
      <c r="V752" s="77" t="str">
        <f t="array" ref="V752">IFERROR(INDEX(DFD!$F$2:$F$1048791,MATCH($Q752,DFD!$B$2:$B$1048791,0)),"")</f>
        <v/>
      </c>
      <c r="W752" s="84" t="str">
        <f t="array" ref="W752">IFERROR(INDEX(DFD!$E$2:$E$1048791,MATCH($Q752,DFD!$B$2:$B$1048791,0)),"")</f>
        <v/>
      </c>
      <c r="X752" s="84" t="str">
        <f t="array" ref="X752">IFERROR(INDEX(DFD!$K$2:$K$1048791,MATCH($Q752,DFD!$B$2:$B$1048791,0)),"")</f>
        <v/>
      </c>
      <c r="Y752" s="84" t="str">
        <f t="array" ref="Y752">IFERROR(INDEX(DFD!$L$2:$L$1048790,MATCH($Q752,DFD!$B$2:$B$1048790,0)),"")</f>
        <v/>
      </c>
      <c r="Z752" s="84">
        <f t="shared" si="13"/>
        <v>45</v>
      </c>
      <c r="AA752" s="59"/>
      <c r="AB752" s="59" t="s">
        <v>72</v>
      </c>
      <c r="AC752" s="59"/>
      <c r="AD752" s="85">
        <v>46043.0</v>
      </c>
      <c r="AE752" s="86">
        <f t="shared" si="8"/>
        <v>1</v>
      </c>
    </row>
    <row r="753" ht="15.75" customHeight="1">
      <c r="A753" s="87" t="s">
        <v>2145</v>
      </c>
      <c r="B753" s="87" t="s">
        <v>52</v>
      </c>
      <c r="C753" s="88" t="s">
        <v>2146</v>
      </c>
      <c r="D753" s="88" t="s">
        <v>2116</v>
      </c>
      <c r="E753" s="88">
        <v>2.0</v>
      </c>
      <c r="F753" s="89">
        <v>26000.0</v>
      </c>
      <c r="G753" s="90" t="s">
        <v>53</v>
      </c>
      <c r="H753" s="91">
        <v>46235.0</v>
      </c>
      <c r="I753" s="92" t="s">
        <v>17</v>
      </c>
      <c r="J753" s="92" t="s">
        <v>54</v>
      </c>
      <c r="K753" s="92" t="s">
        <v>55</v>
      </c>
      <c r="L753" s="92" t="s">
        <v>56</v>
      </c>
      <c r="M753" s="90" t="s">
        <v>132</v>
      </c>
      <c r="N753" s="92" t="s">
        <v>58</v>
      </c>
      <c r="O753" s="87" t="s">
        <v>69</v>
      </c>
      <c r="P753" s="87"/>
      <c r="Q753" s="87" t="s">
        <v>52</v>
      </c>
      <c r="R753" s="93" t="s">
        <v>61</v>
      </c>
      <c r="S753" s="87"/>
      <c r="T753" s="87"/>
      <c r="U753" s="94" t="str">
        <f t="array" ref="U753">IFERROR(INDEX(DFD!$D$2:$D$1048791,MATCH($Q753,DFD!$B$2:$B$1048791,0)),"")</f>
        <v/>
      </c>
      <c r="V753" s="94" t="str">
        <f t="array" ref="V753">IFERROR(INDEX(DFD!$F$2:$F$1048791,MATCH($Q753,DFD!$B$2:$B$1048791,0)),"")</f>
        <v/>
      </c>
      <c r="W753" s="97" t="str">
        <f t="array" ref="W753">IFERROR(INDEX(DFD!$E$2:$E$1048791,MATCH($Q753,DFD!$B$2:$B$1048791,0)),"")</f>
        <v/>
      </c>
      <c r="X753" s="97" t="str">
        <f t="array" ref="X753">IFERROR(INDEX(DFD!$K$2:$K$1048791,MATCH($Q753,DFD!$B$2:$B$1048791,0)),"")</f>
        <v/>
      </c>
      <c r="Y753" s="97" t="str">
        <f t="array" ref="Y753">IFERROR(INDEX(DFD!$L$2:$L$1048790,MATCH($Q753,DFD!$B$2:$B$1048790,0)),"")</f>
        <v/>
      </c>
      <c r="Z753" s="97">
        <f t="shared" si="13"/>
        <v>45</v>
      </c>
      <c r="AA753" s="87"/>
      <c r="AB753" s="87" t="s">
        <v>72</v>
      </c>
      <c r="AC753" s="87"/>
      <c r="AD753" s="99">
        <v>46043.0</v>
      </c>
      <c r="AE753" s="100">
        <f t="shared" si="8"/>
        <v>1</v>
      </c>
    </row>
    <row r="754" ht="15.75" customHeight="1">
      <c r="A754" s="59" t="s">
        <v>2147</v>
      </c>
      <c r="B754" s="67" t="s">
        <v>355</v>
      </c>
      <c r="C754" s="60" t="s">
        <v>2148</v>
      </c>
      <c r="D754" s="81" t="s">
        <v>51</v>
      </c>
      <c r="E754" s="81">
        <v>2.0</v>
      </c>
      <c r="F754" s="101">
        <v>14000.0</v>
      </c>
      <c r="G754" s="73" t="s">
        <v>53</v>
      </c>
      <c r="H754" s="83">
        <v>46235.0</v>
      </c>
      <c r="I754" s="67" t="s">
        <v>18</v>
      </c>
      <c r="J754" s="67" t="s">
        <v>54</v>
      </c>
      <c r="K754" s="67" t="s">
        <v>83</v>
      </c>
      <c r="L754" s="67" t="s">
        <v>56</v>
      </c>
      <c r="M754" s="73" t="s">
        <v>104</v>
      </c>
      <c r="N754" s="67" t="s">
        <v>58</v>
      </c>
      <c r="O754" s="59" t="s">
        <v>69</v>
      </c>
      <c r="P754" s="59"/>
      <c r="Q754" s="59" t="s">
        <v>52</v>
      </c>
      <c r="R754" s="76" t="s">
        <v>736</v>
      </c>
      <c r="S754" s="59"/>
      <c r="T754" s="59"/>
      <c r="U754" s="77" t="str">
        <f t="array" ref="U754">IFERROR(INDEX(DFD!$D$2:$D$1048791,MATCH($Q754,DFD!$B$2:$B$1048791,0)),"")</f>
        <v/>
      </c>
      <c r="V754" s="77" t="str">
        <f t="array" ref="V754">IFERROR(INDEX(DFD!$F$2:$F$1048791,MATCH($Q754,DFD!$B$2:$B$1048791,0)),"")</f>
        <v/>
      </c>
      <c r="W754" s="84" t="str">
        <f t="array" ref="W754">IFERROR(INDEX(DFD!$E$2:$E$1048791,MATCH($Q754,DFD!$B$2:$B$1048791,0)),"")</f>
        <v/>
      </c>
      <c r="X754" s="84" t="str">
        <f t="array" ref="X754">IFERROR(INDEX(DFD!$K$2:$K$1048791,MATCH($Q754,DFD!$B$2:$B$1048791,0)),"")</f>
        <v/>
      </c>
      <c r="Y754" s="84" t="str">
        <f t="array" ref="Y754">IFERROR(INDEX(DFD!$L$2:$L$1048790,MATCH($Q754,DFD!$B$2:$B$1048790,0)),"")</f>
        <v/>
      </c>
      <c r="Z754" s="84">
        <f t="shared" si="13"/>
        <v>45</v>
      </c>
      <c r="AA754" s="59"/>
      <c r="AB754" s="59" t="s">
        <v>72</v>
      </c>
      <c r="AC754" s="59"/>
      <c r="AD754" s="85">
        <v>46043.0</v>
      </c>
      <c r="AE754" s="86">
        <f t="shared" si="8"/>
        <v>1</v>
      </c>
    </row>
    <row r="755" ht="15.75" customHeight="1">
      <c r="A755" s="92" t="s">
        <v>2149</v>
      </c>
      <c r="B755" s="71" t="s">
        <v>105</v>
      </c>
      <c r="C755" s="88" t="s">
        <v>2150</v>
      </c>
      <c r="D755" s="88" t="s">
        <v>51</v>
      </c>
      <c r="E755" s="88">
        <v>1.0</v>
      </c>
      <c r="F755" s="89">
        <v>4500.0</v>
      </c>
      <c r="G755" s="90" t="s">
        <v>53</v>
      </c>
      <c r="H755" s="91">
        <v>46204.0</v>
      </c>
      <c r="I755" s="92" t="s">
        <v>18</v>
      </c>
      <c r="J755" s="92" t="s">
        <v>54</v>
      </c>
      <c r="K755" s="92" t="s">
        <v>83</v>
      </c>
      <c r="L755" s="92" t="s">
        <v>67</v>
      </c>
      <c r="M755" s="90" t="s">
        <v>57</v>
      </c>
      <c r="N755" s="92" t="s">
        <v>20</v>
      </c>
      <c r="O755" s="92" t="s">
        <v>89</v>
      </c>
      <c r="P755" s="87"/>
      <c r="Q755" s="87" t="s">
        <v>689</v>
      </c>
      <c r="R755" s="93" t="s">
        <v>736</v>
      </c>
      <c r="S755" s="87"/>
      <c r="T755" s="87"/>
      <c r="U755" s="94" t="str">
        <f t="array" ref="U755">IFERROR(INDEX(DFD!$D$2:$D$1048791,MATCH($Q755,DFD!$B$2:$B$1048791,0)),"")</f>
        <v/>
      </c>
      <c r="V755" s="94" t="s">
        <v>280</v>
      </c>
      <c r="W755" s="97" t="str">
        <f t="array" ref="W755">IFERROR(INDEX(DFD!$E$2:$E$1048791,MATCH($Q755,DFD!$B$2:$B$1048791,0)),"")</f>
        <v/>
      </c>
      <c r="X755" s="97" t="str">
        <f t="array" ref="X755">IFERROR(INDEX(DFD!$K$2:$K$1048791,MATCH($Q755,DFD!$B$2:$B$1048791,0)),"")</f>
        <v/>
      </c>
      <c r="Y755" s="97" t="str">
        <f t="array" ref="Y755">IFERROR(INDEX(DFD!$L$2:$L$1048790,MATCH($Q755,DFD!$B$2:$B$1048790,0)),"")</f>
        <v/>
      </c>
      <c r="Z755" s="97">
        <f t="shared" si="13"/>
        <v>45</v>
      </c>
      <c r="AA755" s="87"/>
      <c r="AB755" s="87" t="s">
        <v>78</v>
      </c>
      <c r="AC755" s="87"/>
      <c r="AD755" s="99">
        <v>46043.0</v>
      </c>
      <c r="AE755" s="100">
        <f t="shared" si="8"/>
        <v>1</v>
      </c>
    </row>
    <row r="756" ht="15.75" customHeight="1">
      <c r="A756" s="59" t="s">
        <v>2151</v>
      </c>
      <c r="B756" s="67" t="s">
        <v>101</v>
      </c>
      <c r="C756" s="60" t="s">
        <v>2152</v>
      </c>
      <c r="D756" s="81" t="s">
        <v>51</v>
      </c>
      <c r="E756" s="81">
        <v>6.0</v>
      </c>
      <c r="F756" s="101">
        <v>4320.0</v>
      </c>
      <c r="G756" s="73" t="s">
        <v>53</v>
      </c>
      <c r="H756" s="83">
        <v>46204.0</v>
      </c>
      <c r="I756" s="67" t="s">
        <v>18</v>
      </c>
      <c r="J756" s="67" t="s">
        <v>54</v>
      </c>
      <c r="K756" s="67" t="s">
        <v>83</v>
      </c>
      <c r="L756" s="67" t="s">
        <v>56</v>
      </c>
      <c r="M756" s="73" t="s">
        <v>112</v>
      </c>
      <c r="N756" s="67" t="s">
        <v>58</v>
      </c>
      <c r="O756" s="59" t="s">
        <v>69</v>
      </c>
      <c r="P756" s="59"/>
      <c r="Q756" s="59" t="s">
        <v>1628</v>
      </c>
      <c r="R756" s="76" t="s">
        <v>302</v>
      </c>
      <c r="S756" s="59"/>
      <c r="T756" s="59"/>
      <c r="U756" s="77" t="str">
        <f t="array" ref="U756">IFERROR(INDEX(DFD!$D$2:$D$1048791,MATCH($Q756,DFD!$B$2:$B$1048791,0)),"")</f>
        <v/>
      </c>
      <c r="V756" s="77" t="str">
        <f t="array" ref="V756">IFERROR(INDEX(DFD!$F$2:$F$1048791,MATCH($Q756,DFD!$B$2:$B$1048791,0)),"")</f>
        <v/>
      </c>
      <c r="W756" s="84" t="str">
        <f t="array" ref="W756">IFERROR(INDEX(DFD!$E$2:$E$1048791,MATCH($Q756,DFD!$B$2:$B$1048791,0)),"")</f>
        <v/>
      </c>
      <c r="X756" s="84" t="str">
        <f t="array" ref="X756">IFERROR(INDEX(DFD!$K$2:$K$1048791,MATCH($Q756,DFD!$B$2:$B$1048791,0)),"")</f>
        <v/>
      </c>
      <c r="Y756" s="84" t="str">
        <f t="array" ref="Y756">IFERROR(INDEX(DFD!$L$2:$L$1048790,MATCH($Q756,DFD!$B$2:$B$1048790,0)),"")</f>
        <v/>
      </c>
      <c r="Z756" s="84">
        <f t="shared" si="13"/>
        <v>45</v>
      </c>
      <c r="AA756" s="59"/>
      <c r="AB756" s="59" t="s">
        <v>78</v>
      </c>
      <c r="AC756" s="59"/>
      <c r="AD756" s="85">
        <v>46043.0</v>
      </c>
      <c r="AE756" s="86">
        <f t="shared" si="8"/>
        <v>1</v>
      </c>
    </row>
    <row r="757" ht="15.75" customHeight="1">
      <c r="A757" s="87" t="s">
        <v>2153</v>
      </c>
      <c r="B757" s="87" t="s">
        <v>52</v>
      </c>
      <c r="C757" s="88" t="s">
        <v>2154</v>
      </c>
      <c r="D757" s="88" t="s">
        <v>51</v>
      </c>
      <c r="E757" s="88">
        <v>1.0</v>
      </c>
      <c r="F757" s="89">
        <v>50000.0</v>
      </c>
      <c r="G757" s="90" t="s">
        <v>53</v>
      </c>
      <c r="H757" s="118">
        <v>46266.0</v>
      </c>
      <c r="I757" s="92" t="s">
        <v>18</v>
      </c>
      <c r="J757" s="92" t="s">
        <v>54</v>
      </c>
      <c r="K757" s="92" t="s">
        <v>83</v>
      </c>
      <c r="L757" s="92" t="s">
        <v>56</v>
      </c>
      <c r="M757" s="90" t="s">
        <v>132</v>
      </c>
      <c r="N757" s="92" t="s">
        <v>58</v>
      </c>
      <c r="O757" s="87" t="s">
        <v>69</v>
      </c>
      <c r="P757" s="87"/>
      <c r="Q757" s="87" t="s">
        <v>52</v>
      </c>
      <c r="R757" s="93" t="s">
        <v>302</v>
      </c>
      <c r="S757" s="87"/>
      <c r="T757" s="87"/>
      <c r="U757" s="94" t="str">
        <f t="array" ref="U757">IFERROR(INDEX(DFD!$D$2:$D$1048791,MATCH($Q757,DFD!$B$2:$B$1048791,0)),"")</f>
        <v/>
      </c>
      <c r="V757" s="94" t="str">
        <f t="array" ref="V757">IFERROR(INDEX(DFD!$F$2:$F$1048791,MATCH($Q757,DFD!$B$2:$B$1048791,0)),"")</f>
        <v/>
      </c>
      <c r="W757" s="97" t="str">
        <f t="array" ref="W757">IFERROR(INDEX(DFD!$E$2:$E$1048791,MATCH($Q757,DFD!$B$2:$B$1048791,0)),"")</f>
        <v/>
      </c>
      <c r="X757" s="97" t="str">
        <f t="array" ref="X757">IFERROR(INDEX(DFD!$K$2:$K$1048791,MATCH($Q757,DFD!$B$2:$B$1048791,0)),"")</f>
        <v/>
      </c>
      <c r="Y757" s="97" t="str">
        <f t="array" ref="Y757">IFERROR(INDEX(DFD!$L$2:$L$1048790,MATCH($Q757,DFD!$B$2:$B$1048790,0)),"")</f>
        <v/>
      </c>
      <c r="Z757" s="97">
        <f t="shared" si="13"/>
        <v>45</v>
      </c>
      <c r="AA757" s="87"/>
      <c r="AB757" s="87" t="s">
        <v>72</v>
      </c>
      <c r="AC757" s="87"/>
      <c r="AD757" s="99">
        <v>46043.0</v>
      </c>
      <c r="AE757" s="100">
        <f t="shared" si="8"/>
        <v>1</v>
      </c>
    </row>
    <row r="758" ht="15.75" customHeight="1">
      <c r="A758" s="67" t="s">
        <v>2155</v>
      </c>
      <c r="B758" s="59" t="s">
        <v>184</v>
      </c>
      <c r="C758" s="60" t="s">
        <v>2156</v>
      </c>
      <c r="D758" s="60" t="s">
        <v>51</v>
      </c>
      <c r="E758" s="60">
        <v>250.0</v>
      </c>
      <c r="F758" s="72">
        <v>13250.0</v>
      </c>
      <c r="G758" s="73" t="s">
        <v>53</v>
      </c>
      <c r="H758" s="74">
        <v>46235.0</v>
      </c>
      <c r="I758" s="67" t="s">
        <v>17</v>
      </c>
      <c r="J758" s="67" t="s">
        <v>54</v>
      </c>
      <c r="K758" s="67" t="s">
        <v>66</v>
      </c>
      <c r="L758" s="67" t="s">
        <v>67</v>
      </c>
      <c r="M758" s="73" t="s">
        <v>167</v>
      </c>
      <c r="N758" s="67" t="s">
        <v>20</v>
      </c>
      <c r="O758" s="67" t="s">
        <v>89</v>
      </c>
      <c r="P758" s="59"/>
      <c r="Q758" s="59" t="s">
        <v>800</v>
      </c>
      <c r="R758" s="76" t="s">
        <v>287</v>
      </c>
      <c r="S758" s="59"/>
      <c r="T758" s="59"/>
      <c r="U758" s="77" t="str">
        <f t="array" ref="U758">IFERROR(INDEX(DFD!$D$2:$D$1048791,MATCH($Q758,DFD!$B$2:$B$1048791,0)),"")</f>
        <v/>
      </c>
      <c r="V758" s="77" t="str">
        <f t="array" ref="V758">IFERROR(INDEX(DFD!$F$2:$F$1048791,MATCH($Q758,DFD!$B$2:$B$1048791,0)),"")</f>
        <v/>
      </c>
      <c r="W758" s="84" t="str">
        <f t="array" ref="W758">IFERROR(INDEX(DFD!$E$2:$E$1048791,MATCH($Q758,DFD!$B$2:$B$1048791,0)),"")</f>
        <v/>
      </c>
      <c r="X758" s="84" t="str">
        <f t="array" ref="X758">IFERROR(INDEX(DFD!$K$2:$K$1048791,MATCH($Q758,DFD!$B$2:$B$1048791,0)),"")</f>
        <v/>
      </c>
      <c r="Y758" s="84" t="str">
        <f t="array" ref="Y758">IFERROR(INDEX(DFD!$L$2:$L$1048790,MATCH($Q758,DFD!$B$2:$B$1048790,0)),"")</f>
        <v/>
      </c>
      <c r="Z758" s="84">
        <f t="shared" si="13"/>
        <v>45</v>
      </c>
      <c r="AA758" s="59"/>
      <c r="AB758" s="59" t="s">
        <v>78</v>
      </c>
      <c r="AC758" s="59"/>
      <c r="AD758" s="85">
        <v>46043.0</v>
      </c>
      <c r="AE758" s="86">
        <f t="shared" si="8"/>
        <v>1</v>
      </c>
    </row>
    <row r="759" ht="15.75" customHeight="1">
      <c r="A759" s="87" t="s">
        <v>2157</v>
      </c>
      <c r="B759" s="87" t="s">
        <v>101</v>
      </c>
      <c r="C759" s="88" t="s">
        <v>2158</v>
      </c>
      <c r="D759" s="88" t="s">
        <v>51</v>
      </c>
      <c r="E759" s="88">
        <v>2.0</v>
      </c>
      <c r="F759" s="89">
        <v>340.0</v>
      </c>
      <c r="G759" s="90" t="s">
        <v>53</v>
      </c>
      <c r="H759" s="91">
        <v>46174.0</v>
      </c>
      <c r="I759" s="92" t="s">
        <v>17</v>
      </c>
      <c r="J759" s="92" t="s">
        <v>54</v>
      </c>
      <c r="K759" s="92" t="s">
        <v>66</v>
      </c>
      <c r="L759" s="92" t="s">
        <v>56</v>
      </c>
      <c r="M759" s="90" t="s">
        <v>132</v>
      </c>
      <c r="N759" s="92" t="s">
        <v>58</v>
      </c>
      <c r="O759" s="87" t="s">
        <v>69</v>
      </c>
      <c r="P759" s="87"/>
      <c r="Q759" s="87" t="s">
        <v>118</v>
      </c>
      <c r="R759" s="93" t="s">
        <v>181</v>
      </c>
      <c r="S759" s="87"/>
      <c r="T759" s="87"/>
      <c r="U759" s="94" t="str">
        <f t="array" ref="U759">IFERROR(INDEX(DFD!$D$2:$D$1048791,MATCH($Q759,DFD!$B$2:$B$1048791,0)),"")</f>
        <v/>
      </c>
      <c r="V759" s="94" t="str">
        <f t="array" ref="V759">IFERROR(INDEX(DFD!$F$2:$F$1048791,MATCH($Q759,DFD!$B$2:$B$1048791,0)),"")</f>
        <v/>
      </c>
      <c r="W759" s="97" t="str">
        <f t="array" ref="W759">IFERROR(INDEX(DFD!$E$2:$E$1048791,MATCH($Q759,DFD!$B$2:$B$1048791,0)),"")</f>
        <v/>
      </c>
      <c r="X759" s="97" t="str">
        <f t="array" ref="X759">IFERROR(INDEX(DFD!$K$2:$K$1048791,MATCH($Q759,DFD!$B$2:$B$1048791,0)),"")</f>
        <v/>
      </c>
      <c r="Y759" s="97" t="str">
        <f t="array" ref="Y759">IFERROR(INDEX(DFD!$L$2:$L$1048790,MATCH($Q759,DFD!$B$2:$B$1048790,0)),"")</f>
        <v/>
      </c>
      <c r="Z759" s="97">
        <f t="shared" si="13"/>
        <v>45</v>
      </c>
      <c r="AA759" s="87"/>
      <c r="AB759" s="87" t="s">
        <v>78</v>
      </c>
      <c r="AC759" s="87"/>
      <c r="AD759" s="99">
        <v>46043.0</v>
      </c>
      <c r="AE759" s="100">
        <f t="shared" si="8"/>
        <v>1</v>
      </c>
    </row>
    <row r="760" ht="15.75" customHeight="1">
      <c r="A760" s="67" t="s">
        <v>2159</v>
      </c>
      <c r="B760" s="59" t="s">
        <v>174</v>
      </c>
      <c r="C760" s="60" t="s">
        <v>2160</v>
      </c>
      <c r="D760" s="60" t="s">
        <v>51</v>
      </c>
      <c r="E760" s="60">
        <v>1.0</v>
      </c>
      <c r="F760" s="72">
        <v>800.0</v>
      </c>
      <c r="G760" s="73" t="s">
        <v>53</v>
      </c>
      <c r="H760" s="74">
        <v>46174.0</v>
      </c>
      <c r="I760" s="67" t="s">
        <v>17</v>
      </c>
      <c r="J760" s="67" t="s">
        <v>54</v>
      </c>
      <c r="K760" s="67" t="s">
        <v>66</v>
      </c>
      <c r="L760" s="67" t="s">
        <v>56</v>
      </c>
      <c r="M760" s="73" t="s">
        <v>68</v>
      </c>
      <c r="N760" s="67" t="s">
        <v>20</v>
      </c>
      <c r="O760" s="59" t="s">
        <v>69</v>
      </c>
      <c r="P760" s="59"/>
      <c r="Q760" s="59" t="s">
        <v>2161</v>
      </c>
      <c r="R760" s="76" t="s">
        <v>736</v>
      </c>
      <c r="S760" s="59"/>
      <c r="T760" s="59"/>
      <c r="U760" s="77" t="str">
        <f t="array" ref="U760">IFERROR(INDEX(DFD!$D$2:$D$1048791,MATCH($Q760,DFD!$B$2:$B$1048791,0)),"")</f>
        <v/>
      </c>
      <c r="V760" s="77" t="str">
        <f t="array" ref="V760">IFERROR(INDEX(DFD!$F$2:$F$1048791,MATCH($Q760,DFD!$B$2:$B$1048791,0)),"")</f>
        <v/>
      </c>
      <c r="W760" s="84" t="str">
        <f t="array" ref="W760">IFERROR(INDEX(DFD!$E$2:$E$1048791,MATCH($Q760,DFD!$B$2:$B$1048791,0)),"")</f>
        <v/>
      </c>
      <c r="X760" s="84" t="str">
        <f t="array" ref="X760">IFERROR(INDEX(DFD!$K$2:$K$1048791,MATCH($Q760,DFD!$B$2:$B$1048791,0)),"")</f>
        <v/>
      </c>
      <c r="Y760" s="84" t="str">
        <f t="array" ref="Y760">IFERROR(INDEX(DFD!$L$2:$L$1048790,MATCH($Q760,DFD!$B$2:$B$1048790,0)),"")</f>
        <v/>
      </c>
      <c r="Z760" s="84">
        <f t="shared" si="13"/>
        <v>45</v>
      </c>
      <c r="AA760" s="59"/>
      <c r="AB760" s="59" t="s">
        <v>78</v>
      </c>
      <c r="AC760" s="59"/>
      <c r="AD760" s="85">
        <v>46043.0</v>
      </c>
      <c r="AE760" s="86">
        <f t="shared" si="8"/>
        <v>1</v>
      </c>
    </row>
    <row r="761" ht="15.75" customHeight="1">
      <c r="A761" s="87" t="s">
        <v>2162</v>
      </c>
      <c r="B761" s="87" t="s">
        <v>101</v>
      </c>
      <c r="C761" s="88" t="s">
        <v>2163</v>
      </c>
      <c r="D761" s="88" t="s">
        <v>51</v>
      </c>
      <c r="E761" s="88">
        <v>1.0</v>
      </c>
      <c r="F761" s="89">
        <v>4000.0</v>
      </c>
      <c r="G761" s="90" t="s">
        <v>53</v>
      </c>
      <c r="H761" s="91">
        <v>46204.0</v>
      </c>
      <c r="I761" s="92" t="s">
        <v>17</v>
      </c>
      <c r="J761" s="92" t="s">
        <v>54</v>
      </c>
      <c r="K761" s="92" t="s">
        <v>66</v>
      </c>
      <c r="L761" s="92" t="s">
        <v>56</v>
      </c>
      <c r="M761" s="90" t="s">
        <v>132</v>
      </c>
      <c r="N761" s="92" t="s">
        <v>58</v>
      </c>
      <c r="O761" s="92" t="s">
        <v>89</v>
      </c>
      <c r="P761" s="87"/>
      <c r="Q761" s="87" t="s">
        <v>2161</v>
      </c>
      <c r="R761" s="93" t="s">
        <v>736</v>
      </c>
      <c r="S761" s="87"/>
      <c r="T761" s="87"/>
      <c r="U761" s="94" t="str">
        <f t="array" ref="U761">IFERROR(INDEX(DFD!$D$2:$D$1048791,MATCH($Q761,DFD!$B$2:$B$1048791,0)),"")</f>
        <v/>
      </c>
      <c r="V761" s="94" t="str">
        <f t="array" ref="V761">IFERROR(INDEX(DFD!$F$2:$F$1048791,MATCH($Q761,DFD!$B$2:$B$1048791,0)),"")</f>
        <v/>
      </c>
      <c r="W761" s="97" t="str">
        <f t="array" ref="W761">IFERROR(INDEX(DFD!$E$2:$E$1048791,MATCH($Q761,DFD!$B$2:$B$1048791,0)),"")</f>
        <v/>
      </c>
      <c r="X761" s="97" t="str">
        <f t="array" ref="X761">IFERROR(INDEX(DFD!$K$2:$K$1048791,MATCH($Q761,DFD!$B$2:$B$1048791,0)),"")</f>
        <v/>
      </c>
      <c r="Y761" s="97" t="str">
        <f t="array" ref="Y761">IFERROR(INDEX(DFD!$L$2:$L$1048790,MATCH($Q761,DFD!$B$2:$B$1048790,0)),"")</f>
        <v/>
      </c>
      <c r="Z761" s="97">
        <f t="shared" si="13"/>
        <v>45</v>
      </c>
      <c r="AA761" s="87"/>
      <c r="AB761" s="87" t="s">
        <v>78</v>
      </c>
      <c r="AC761" s="87"/>
      <c r="AD761" s="99">
        <v>46043.0</v>
      </c>
      <c r="AE761" s="100">
        <f t="shared" si="8"/>
        <v>1</v>
      </c>
    </row>
    <row r="762" ht="15.75" customHeight="1">
      <c r="A762" s="59" t="s">
        <v>2164</v>
      </c>
      <c r="B762" s="59" t="s">
        <v>101</v>
      </c>
      <c r="C762" s="60" t="s">
        <v>2165</v>
      </c>
      <c r="D762" s="60" t="s">
        <v>51</v>
      </c>
      <c r="E762" s="60">
        <v>1.0</v>
      </c>
      <c r="F762" s="72">
        <v>10000.0</v>
      </c>
      <c r="G762" s="73" t="s">
        <v>53</v>
      </c>
      <c r="H762" s="74">
        <v>46204.0</v>
      </c>
      <c r="I762" s="67" t="s">
        <v>17</v>
      </c>
      <c r="J762" s="67" t="s">
        <v>54</v>
      </c>
      <c r="K762" s="67" t="s">
        <v>66</v>
      </c>
      <c r="L762" s="67" t="s">
        <v>56</v>
      </c>
      <c r="M762" s="73" t="s">
        <v>132</v>
      </c>
      <c r="N762" s="67" t="s">
        <v>58</v>
      </c>
      <c r="O762" s="59" t="s">
        <v>69</v>
      </c>
      <c r="P762" s="59"/>
      <c r="Q762" s="59" t="s">
        <v>2161</v>
      </c>
      <c r="R762" s="76" t="s">
        <v>736</v>
      </c>
      <c r="S762" s="59"/>
      <c r="T762" s="59"/>
      <c r="U762" s="77" t="str">
        <f t="array" ref="U762">IFERROR(INDEX(DFD!$D$2:$D$1048791,MATCH($Q762,DFD!$B$2:$B$1048791,0)),"")</f>
        <v/>
      </c>
      <c r="V762" s="77" t="str">
        <f t="array" ref="V762">IFERROR(INDEX(DFD!$F$2:$F$1048791,MATCH($Q762,DFD!$B$2:$B$1048791,0)),"")</f>
        <v/>
      </c>
      <c r="W762" s="84" t="str">
        <f t="array" ref="W762">IFERROR(INDEX(DFD!$E$2:$E$1048791,MATCH($Q762,DFD!$B$2:$B$1048791,0)),"")</f>
        <v/>
      </c>
      <c r="X762" s="84" t="str">
        <f t="array" ref="X762">IFERROR(INDEX(DFD!$K$2:$K$1048791,MATCH($Q762,DFD!$B$2:$B$1048791,0)),"")</f>
        <v/>
      </c>
      <c r="Y762" s="84" t="str">
        <f t="array" ref="Y762">IFERROR(INDEX(DFD!$L$2:$L$1048790,MATCH($Q762,DFD!$B$2:$B$1048790,0)),"")</f>
        <v/>
      </c>
      <c r="Z762" s="84">
        <f t="shared" si="13"/>
        <v>45</v>
      </c>
      <c r="AA762" s="59"/>
      <c r="AB762" s="59" t="s">
        <v>78</v>
      </c>
      <c r="AC762" s="59"/>
      <c r="AD762" s="85">
        <v>46043.0</v>
      </c>
      <c r="AE762" s="86">
        <f t="shared" si="8"/>
        <v>1</v>
      </c>
    </row>
    <row r="763" ht="15.75" customHeight="1">
      <c r="A763" s="87" t="s">
        <v>2166</v>
      </c>
      <c r="B763" s="87" t="s">
        <v>101</v>
      </c>
      <c r="C763" s="88" t="s">
        <v>2167</v>
      </c>
      <c r="D763" s="88" t="s">
        <v>51</v>
      </c>
      <c r="E763" s="88">
        <v>2.0</v>
      </c>
      <c r="F763" s="89">
        <v>10000.0</v>
      </c>
      <c r="G763" s="90" t="s">
        <v>53</v>
      </c>
      <c r="H763" s="91">
        <v>46204.0</v>
      </c>
      <c r="I763" s="92" t="s">
        <v>17</v>
      </c>
      <c r="J763" s="92" t="s">
        <v>54</v>
      </c>
      <c r="K763" s="92" t="s">
        <v>66</v>
      </c>
      <c r="L763" s="92" t="s">
        <v>56</v>
      </c>
      <c r="M763" s="90" t="s">
        <v>132</v>
      </c>
      <c r="N763" s="92" t="s">
        <v>58</v>
      </c>
      <c r="O763" s="87" t="s">
        <v>69</v>
      </c>
      <c r="P763" s="87"/>
      <c r="Q763" s="87" t="s">
        <v>2161</v>
      </c>
      <c r="R763" s="93" t="s">
        <v>736</v>
      </c>
      <c r="S763" s="87"/>
      <c r="T763" s="87"/>
      <c r="U763" s="94" t="str">
        <f t="array" ref="U763">IFERROR(INDEX(DFD!$D$2:$D$1048791,MATCH($Q763,DFD!$B$2:$B$1048791,0)),"")</f>
        <v/>
      </c>
      <c r="V763" s="94" t="str">
        <f t="array" ref="V763">IFERROR(INDEX(DFD!$F$2:$F$1048791,MATCH($Q763,DFD!$B$2:$B$1048791,0)),"")</f>
        <v/>
      </c>
      <c r="W763" s="97" t="str">
        <f t="array" ref="W763">IFERROR(INDEX(DFD!$E$2:$E$1048791,MATCH($Q763,DFD!$B$2:$B$1048791,0)),"")</f>
        <v/>
      </c>
      <c r="X763" s="97" t="str">
        <f t="array" ref="X763">IFERROR(INDEX(DFD!$K$2:$K$1048791,MATCH($Q763,DFD!$B$2:$B$1048791,0)),"")</f>
        <v/>
      </c>
      <c r="Y763" s="97" t="str">
        <f t="array" ref="Y763">IFERROR(INDEX(DFD!$L$2:$L$1048790,MATCH($Q763,DFD!$B$2:$B$1048790,0)),"")</f>
        <v/>
      </c>
      <c r="Z763" s="97">
        <f t="shared" si="13"/>
        <v>45</v>
      </c>
      <c r="AA763" s="87"/>
      <c r="AB763" s="87" t="s">
        <v>78</v>
      </c>
      <c r="AC763" s="87"/>
      <c r="AD763" s="99">
        <v>46043.0</v>
      </c>
      <c r="AE763" s="100">
        <f t="shared" si="8"/>
        <v>1</v>
      </c>
    </row>
    <row r="764" ht="15.75" customHeight="1">
      <c r="A764" s="59" t="s">
        <v>2168</v>
      </c>
      <c r="B764" s="59" t="s">
        <v>101</v>
      </c>
      <c r="C764" s="60" t="s">
        <v>2169</v>
      </c>
      <c r="D764" s="60" t="s">
        <v>51</v>
      </c>
      <c r="E764" s="60">
        <v>1.0</v>
      </c>
      <c r="F764" s="72">
        <v>9000.0</v>
      </c>
      <c r="G764" s="73" t="s">
        <v>53</v>
      </c>
      <c r="H764" s="74">
        <v>46204.0</v>
      </c>
      <c r="I764" s="67" t="s">
        <v>17</v>
      </c>
      <c r="J764" s="67" t="s">
        <v>54</v>
      </c>
      <c r="K764" s="67" t="s">
        <v>66</v>
      </c>
      <c r="L764" s="67" t="s">
        <v>56</v>
      </c>
      <c r="M764" s="73" t="s">
        <v>68</v>
      </c>
      <c r="N764" s="67" t="s">
        <v>58</v>
      </c>
      <c r="O764" s="67" t="s">
        <v>89</v>
      </c>
      <c r="P764" s="59"/>
      <c r="Q764" s="59" t="s">
        <v>2161</v>
      </c>
      <c r="R764" s="76" t="s">
        <v>736</v>
      </c>
      <c r="S764" s="59"/>
      <c r="T764" s="59"/>
      <c r="U764" s="77" t="str">
        <f t="array" ref="U764">IFERROR(INDEX(DFD!$D$2:$D$1048791,MATCH($Q764,DFD!$B$2:$B$1048791,0)),"")</f>
        <v/>
      </c>
      <c r="V764" s="77" t="str">
        <f t="array" ref="V764">IFERROR(INDEX(DFD!$F$2:$F$1048791,MATCH($Q764,DFD!$B$2:$B$1048791,0)),"")</f>
        <v/>
      </c>
      <c r="W764" s="84" t="str">
        <f t="array" ref="W764">IFERROR(INDEX(DFD!$E$2:$E$1048791,MATCH($Q764,DFD!$B$2:$B$1048791,0)),"")</f>
        <v/>
      </c>
      <c r="X764" s="84" t="str">
        <f t="array" ref="X764">IFERROR(INDEX(DFD!$K$2:$K$1048791,MATCH($Q764,DFD!$B$2:$B$1048791,0)),"")</f>
        <v/>
      </c>
      <c r="Y764" s="84" t="str">
        <f t="array" ref="Y764">IFERROR(INDEX(DFD!$L$2:$L$1048790,MATCH($Q764,DFD!$B$2:$B$1048790,0)),"")</f>
        <v/>
      </c>
      <c r="Z764" s="84">
        <f t="shared" si="13"/>
        <v>45</v>
      </c>
      <c r="AA764" s="59"/>
      <c r="AB764" s="59" t="s">
        <v>78</v>
      </c>
      <c r="AC764" s="59"/>
      <c r="AD764" s="85">
        <v>46043.0</v>
      </c>
      <c r="AE764" s="86">
        <f t="shared" si="8"/>
        <v>1</v>
      </c>
    </row>
    <row r="765" ht="15.75" customHeight="1">
      <c r="A765" s="87" t="s">
        <v>2170</v>
      </c>
      <c r="B765" s="87" t="s">
        <v>101</v>
      </c>
      <c r="C765" s="88" t="s">
        <v>2171</v>
      </c>
      <c r="D765" s="88" t="s">
        <v>51</v>
      </c>
      <c r="E765" s="88">
        <v>1.0</v>
      </c>
      <c r="F765" s="89">
        <v>14000.0</v>
      </c>
      <c r="G765" s="90" t="s">
        <v>53</v>
      </c>
      <c r="H765" s="91">
        <v>46235.0</v>
      </c>
      <c r="I765" s="92" t="s">
        <v>17</v>
      </c>
      <c r="J765" s="92" t="s">
        <v>54</v>
      </c>
      <c r="K765" s="92" t="s">
        <v>66</v>
      </c>
      <c r="L765" s="92" t="s">
        <v>56</v>
      </c>
      <c r="M765" s="90" t="s">
        <v>167</v>
      </c>
      <c r="N765" s="92" t="s">
        <v>58</v>
      </c>
      <c r="O765" s="87" t="s">
        <v>69</v>
      </c>
      <c r="P765" s="87"/>
      <c r="Q765" s="87" t="s">
        <v>2161</v>
      </c>
      <c r="R765" s="93" t="s">
        <v>736</v>
      </c>
      <c r="S765" s="87"/>
      <c r="T765" s="87"/>
      <c r="U765" s="94" t="str">
        <f t="array" ref="U765">IFERROR(INDEX(DFD!$D$2:$D$1048791,MATCH($Q765,DFD!$B$2:$B$1048791,0)),"")</f>
        <v/>
      </c>
      <c r="V765" s="94" t="str">
        <f t="array" ref="V765">IFERROR(INDEX(DFD!$F$2:$F$1048791,MATCH($Q765,DFD!$B$2:$B$1048791,0)),"")</f>
        <v/>
      </c>
      <c r="W765" s="97" t="str">
        <f t="array" ref="W765">IFERROR(INDEX(DFD!$E$2:$E$1048791,MATCH($Q765,DFD!$B$2:$B$1048791,0)),"")</f>
        <v/>
      </c>
      <c r="X765" s="97" t="str">
        <f t="array" ref="X765">IFERROR(INDEX(DFD!$K$2:$K$1048791,MATCH($Q765,DFD!$B$2:$B$1048791,0)),"")</f>
        <v/>
      </c>
      <c r="Y765" s="97" t="str">
        <f t="array" ref="Y765">IFERROR(INDEX(DFD!$L$2:$L$1048790,MATCH($Q765,DFD!$B$2:$B$1048790,0)),"")</f>
        <v/>
      </c>
      <c r="Z765" s="97">
        <f t="shared" si="13"/>
        <v>45</v>
      </c>
      <c r="AA765" s="87"/>
      <c r="AB765" s="87" t="s">
        <v>78</v>
      </c>
      <c r="AC765" s="87"/>
      <c r="AD765" s="99">
        <v>46043.0</v>
      </c>
      <c r="AE765" s="100">
        <f t="shared" si="8"/>
        <v>1</v>
      </c>
    </row>
    <row r="766" ht="15.75" customHeight="1">
      <c r="A766" s="59" t="s">
        <v>2172</v>
      </c>
      <c r="B766" s="59" t="s">
        <v>355</v>
      </c>
      <c r="C766" s="60" t="s">
        <v>2173</v>
      </c>
      <c r="D766" s="60" t="s">
        <v>51</v>
      </c>
      <c r="E766" s="60">
        <v>10.0</v>
      </c>
      <c r="F766" s="72">
        <v>250.0</v>
      </c>
      <c r="G766" s="73" t="s">
        <v>53</v>
      </c>
      <c r="H766" s="74">
        <v>46143.0</v>
      </c>
      <c r="I766" s="67" t="s">
        <v>17</v>
      </c>
      <c r="J766" s="67" t="s">
        <v>54</v>
      </c>
      <c r="K766" s="67" t="s">
        <v>66</v>
      </c>
      <c r="L766" s="67" t="s">
        <v>56</v>
      </c>
      <c r="M766" s="73" t="s">
        <v>104</v>
      </c>
      <c r="N766" s="67" t="s">
        <v>58</v>
      </c>
      <c r="O766" s="59" t="s">
        <v>69</v>
      </c>
      <c r="P766" s="59"/>
      <c r="Q766" s="59" t="s">
        <v>118</v>
      </c>
      <c r="R766" s="76" t="s">
        <v>181</v>
      </c>
      <c r="S766" s="59"/>
      <c r="T766" s="59"/>
      <c r="U766" s="77" t="str">
        <f t="array" ref="U766">IFERROR(INDEX(DFD!$D$2:$D$1048791,MATCH($Q766,DFD!$B$2:$B$1048791,0)),"")</f>
        <v/>
      </c>
      <c r="V766" s="77" t="str">
        <f t="array" ref="V766">IFERROR(INDEX(DFD!$F$2:$F$1048791,MATCH($Q766,DFD!$B$2:$B$1048791,0)),"")</f>
        <v/>
      </c>
      <c r="W766" s="84" t="str">
        <f t="array" ref="W766">IFERROR(INDEX(DFD!$E$2:$E$1048791,MATCH($Q766,DFD!$B$2:$B$1048791,0)),"")</f>
        <v/>
      </c>
      <c r="X766" s="84" t="str">
        <f t="array" ref="X766">IFERROR(INDEX(DFD!$K$2:$K$1048791,MATCH($Q766,DFD!$B$2:$B$1048791,0)),"")</f>
        <v/>
      </c>
      <c r="Y766" s="84" t="str">
        <f t="array" ref="Y766">IFERROR(INDEX(DFD!$L$2:$L$1048790,MATCH($Q766,DFD!$B$2:$B$1048790,0)),"")</f>
        <v/>
      </c>
      <c r="Z766" s="84">
        <f t="shared" si="13"/>
        <v>45</v>
      </c>
      <c r="AA766" s="59"/>
      <c r="AB766" s="59" t="s">
        <v>78</v>
      </c>
      <c r="AC766" s="59"/>
      <c r="AD766" s="85">
        <v>46043.0</v>
      </c>
      <c r="AE766" s="86">
        <f t="shared" si="8"/>
        <v>1</v>
      </c>
    </row>
    <row r="767" ht="15.75" customHeight="1">
      <c r="A767" s="87" t="s">
        <v>2174</v>
      </c>
      <c r="B767" s="87" t="s">
        <v>101</v>
      </c>
      <c r="C767" s="88" t="s">
        <v>2173</v>
      </c>
      <c r="D767" s="88" t="s">
        <v>51</v>
      </c>
      <c r="E767" s="88">
        <v>5.0</v>
      </c>
      <c r="F767" s="89">
        <v>125.0</v>
      </c>
      <c r="G767" s="90" t="s">
        <v>53</v>
      </c>
      <c r="H767" s="91">
        <v>46143.0</v>
      </c>
      <c r="I767" s="92" t="s">
        <v>17</v>
      </c>
      <c r="J767" s="92" t="s">
        <v>54</v>
      </c>
      <c r="K767" s="92" t="s">
        <v>66</v>
      </c>
      <c r="L767" s="92" t="s">
        <v>56</v>
      </c>
      <c r="M767" s="90" t="s">
        <v>104</v>
      </c>
      <c r="N767" s="92" t="s">
        <v>58</v>
      </c>
      <c r="O767" s="92" t="s">
        <v>89</v>
      </c>
      <c r="P767" s="87"/>
      <c r="Q767" s="87" t="s">
        <v>118</v>
      </c>
      <c r="R767" s="93" t="s">
        <v>181</v>
      </c>
      <c r="S767" s="87"/>
      <c r="T767" s="87"/>
      <c r="U767" s="94" t="str">
        <f t="array" ref="U767">IFERROR(INDEX(DFD!$D$2:$D$1048791,MATCH($Q767,DFD!$B$2:$B$1048791,0)),"")</f>
        <v/>
      </c>
      <c r="V767" s="94" t="str">
        <f t="array" ref="V767">IFERROR(INDEX(DFD!$F$2:$F$1048791,MATCH($Q767,DFD!$B$2:$B$1048791,0)),"")</f>
        <v/>
      </c>
      <c r="W767" s="97" t="str">
        <f t="array" ref="W767">IFERROR(INDEX(DFD!$E$2:$E$1048791,MATCH($Q767,DFD!$B$2:$B$1048791,0)),"")</f>
        <v/>
      </c>
      <c r="X767" s="97" t="str">
        <f t="array" ref="X767">IFERROR(INDEX(DFD!$K$2:$K$1048791,MATCH($Q767,DFD!$B$2:$B$1048791,0)),"")</f>
        <v/>
      </c>
      <c r="Y767" s="97" t="str">
        <f t="array" ref="Y767">IFERROR(INDEX(DFD!$L$2:$L$1048790,MATCH($Q767,DFD!$B$2:$B$1048790,0)),"")</f>
        <v/>
      </c>
      <c r="Z767" s="97">
        <f t="shared" si="13"/>
        <v>45</v>
      </c>
      <c r="AA767" s="87"/>
      <c r="AB767" s="87" t="s">
        <v>78</v>
      </c>
      <c r="AC767" s="87"/>
      <c r="AD767" s="99">
        <v>46043.0</v>
      </c>
      <c r="AE767" s="100">
        <f t="shared" si="8"/>
        <v>1</v>
      </c>
    </row>
    <row r="768" ht="15.75" customHeight="1">
      <c r="A768" s="67" t="s">
        <v>2175</v>
      </c>
      <c r="B768" s="59" t="s">
        <v>184</v>
      </c>
      <c r="C768" s="60" t="s">
        <v>2176</v>
      </c>
      <c r="D768" s="60" t="s">
        <v>2177</v>
      </c>
      <c r="E768" s="60">
        <v>600.0</v>
      </c>
      <c r="F768" s="72">
        <v>8400.0</v>
      </c>
      <c r="G768" s="73" t="s">
        <v>53</v>
      </c>
      <c r="H768" s="74">
        <v>46204.0</v>
      </c>
      <c r="I768" s="67" t="s">
        <v>17</v>
      </c>
      <c r="J768" s="67" t="s">
        <v>54</v>
      </c>
      <c r="K768" s="67" t="s">
        <v>66</v>
      </c>
      <c r="L768" s="67" t="s">
        <v>67</v>
      </c>
      <c r="M768" s="73" t="s">
        <v>132</v>
      </c>
      <c r="N768" s="67" t="s">
        <v>20</v>
      </c>
      <c r="O768" s="59" t="s">
        <v>69</v>
      </c>
      <c r="P768" s="59"/>
      <c r="Q768" s="59" t="s">
        <v>1884</v>
      </c>
      <c r="R768" s="76" t="s">
        <v>269</v>
      </c>
      <c r="S768" s="59"/>
      <c r="T768" s="59"/>
      <c r="U768" s="77" t="str">
        <f t="array" ref="U768">IFERROR(INDEX(DFD!$D$2:$D$1048791,MATCH($Q768,DFD!$B$2:$B$1048791,0)),"")</f>
        <v/>
      </c>
      <c r="V768" s="77" t="str">
        <f t="array" ref="V768">IFERROR(INDEX(DFD!$F$2:$F$1048791,MATCH($Q768,DFD!$B$2:$B$1048791,0)),"")</f>
        <v/>
      </c>
      <c r="W768" s="84" t="str">
        <f t="array" ref="W768">IFERROR(INDEX(DFD!$E$2:$E$1048791,MATCH($Q768,DFD!$B$2:$B$1048791,0)),"")</f>
        <v/>
      </c>
      <c r="X768" s="84" t="str">
        <f t="array" ref="X768">IFERROR(INDEX(DFD!$K$2:$K$1048791,MATCH($Q768,DFD!$B$2:$B$1048791,0)),"")</f>
        <v/>
      </c>
      <c r="Y768" s="84" t="str">
        <f t="array" ref="Y768">IFERROR(INDEX(DFD!$L$2:$L$1048790,MATCH($Q768,DFD!$B$2:$B$1048790,0)),"")</f>
        <v/>
      </c>
      <c r="Z768" s="84">
        <f t="shared" si="13"/>
        <v>45</v>
      </c>
      <c r="AA768" s="59"/>
      <c r="AB768" s="59" t="s">
        <v>78</v>
      </c>
      <c r="AC768" s="59"/>
      <c r="AD768" s="85">
        <v>46043.0</v>
      </c>
      <c r="AE768" s="86">
        <f t="shared" si="8"/>
        <v>1</v>
      </c>
    </row>
    <row r="769" ht="15.75" customHeight="1">
      <c r="A769" s="87" t="s">
        <v>2178</v>
      </c>
      <c r="B769" s="87" t="s">
        <v>64</v>
      </c>
      <c r="C769" s="88" t="s">
        <v>2179</v>
      </c>
      <c r="D769" s="88" t="s">
        <v>51</v>
      </c>
      <c r="E769" s="88">
        <v>20.0</v>
      </c>
      <c r="F769" s="89">
        <v>800.0</v>
      </c>
      <c r="G769" s="90" t="s">
        <v>53</v>
      </c>
      <c r="H769" s="91">
        <v>46174.0</v>
      </c>
      <c r="I769" s="92" t="s">
        <v>17</v>
      </c>
      <c r="J769" s="92" t="s">
        <v>54</v>
      </c>
      <c r="K769" s="92" t="s">
        <v>66</v>
      </c>
      <c r="L769" s="92" t="s">
        <v>67</v>
      </c>
      <c r="M769" s="90" t="s">
        <v>57</v>
      </c>
      <c r="N769" s="92" t="s">
        <v>5</v>
      </c>
      <c r="O769" s="87" t="s">
        <v>69</v>
      </c>
      <c r="P769" s="87"/>
      <c r="Q769" s="87" t="s">
        <v>275</v>
      </c>
      <c r="R769" s="93" t="s">
        <v>71</v>
      </c>
      <c r="S769" s="87"/>
      <c r="T769" s="87"/>
      <c r="U769" s="94" t="str">
        <f t="array" ref="U769">IFERROR(INDEX(DFD!$D$2:$D$1048791,MATCH($Q769,DFD!$B$2:$B$1048791,0)),"")</f>
        <v/>
      </c>
      <c r="V769" s="94" t="str">
        <f t="array" ref="V769">IFERROR(INDEX(DFD!$F$2:$F$1048791,MATCH($Q769,DFD!$B$2:$B$1048791,0)),"")</f>
        <v/>
      </c>
      <c r="W769" s="97" t="str">
        <f t="array" ref="W769">IFERROR(INDEX(DFD!$E$2:$E$1048791,MATCH($Q769,DFD!$B$2:$B$1048791,0)),"")</f>
        <v/>
      </c>
      <c r="X769" s="97" t="str">
        <f t="array" ref="X769">IFERROR(INDEX(DFD!$K$2:$K$1048791,MATCH($Q769,DFD!$B$2:$B$1048791,0)),"")</f>
        <v/>
      </c>
      <c r="Y769" s="97" t="str">
        <f t="array" ref="Y769">IFERROR(INDEX(DFD!$L$2:$L$1048790,MATCH($Q769,DFD!$B$2:$B$1048790,0)),"")</f>
        <v/>
      </c>
      <c r="Z769" s="97">
        <f t="shared" si="13"/>
        <v>45</v>
      </c>
      <c r="AA769" s="87"/>
      <c r="AB769" s="87" t="s">
        <v>78</v>
      </c>
      <c r="AC769" s="87"/>
      <c r="AD769" s="99">
        <v>46043.0</v>
      </c>
      <c r="AE769" s="100">
        <f t="shared" si="8"/>
        <v>1</v>
      </c>
    </row>
    <row r="770" ht="15.75" customHeight="1">
      <c r="A770" s="59" t="s">
        <v>2180</v>
      </c>
      <c r="B770" s="59" t="s">
        <v>101</v>
      </c>
      <c r="C770" s="60" t="s">
        <v>2181</v>
      </c>
      <c r="D770" s="60" t="s">
        <v>51</v>
      </c>
      <c r="E770" s="60">
        <v>10.0</v>
      </c>
      <c r="F770" s="72">
        <v>920.0</v>
      </c>
      <c r="G770" s="73" t="s">
        <v>53</v>
      </c>
      <c r="H770" s="74">
        <v>46174.0</v>
      </c>
      <c r="I770" s="67" t="s">
        <v>17</v>
      </c>
      <c r="J770" s="67" t="s">
        <v>54</v>
      </c>
      <c r="K770" s="67" t="s">
        <v>66</v>
      </c>
      <c r="L770" s="67" t="s">
        <v>56</v>
      </c>
      <c r="M770" s="73" t="s">
        <v>132</v>
      </c>
      <c r="N770" s="67" t="s">
        <v>58</v>
      </c>
      <c r="O770" s="67" t="s">
        <v>89</v>
      </c>
      <c r="P770" s="59"/>
      <c r="Q770" s="59" t="s">
        <v>491</v>
      </c>
      <c r="R770" s="76" t="s">
        <v>269</v>
      </c>
      <c r="S770" s="59"/>
      <c r="T770" s="59"/>
      <c r="U770" s="77" t="str">
        <f t="array" ref="U770">IFERROR(INDEX(DFD!$D$2:$D$1048791,MATCH($Q770,DFD!$B$2:$B$1048791,0)),"")</f>
        <v/>
      </c>
      <c r="V770" s="77" t="str">
        <f t="array" ref="V770">IFERROR(INDEX(DFD!$F$2:$F$1048791,MATCH($Q770,DFD!$B$2:$B$1048791,0)),"")</f>
        <v/>
      </c>
      <c r="W770" s="84" t="str">
        <f t="array" ref="W770">IFERROR(INDEX(DFD!$E$2:$E$1048791,MATCH($Q770,DFD!$B$2:$B$1048791,0)),"")</f>
        <v/>
      </c>
      <c r="X770" s="84" t="str">
        <f t="array" ref="X770">IFERROR(INDEX(DFD!$K$2:$K$1048791,MATCH($Q770,DFD!$B$2:$B$1048791,0)),"")</f>
        <v/>
      </c>
      <c r="Y770" s="84" t="str">
        <f t="array" ref="Y770">IFERROR(INDEX(DFD!$L$2:$L$1048790,MATCH($Q770,DFD!$B$2:$B$1048790,0)),"")</f>
        <v/>
      </c>
      <c r="Z770" s="84">
        <f t="shared" si="13"/>
        <v>45</v>
      </c>
      <c r="AA770" s="59"/>
      <c r="AB770" s="59" t="s">
        <v>78</v>
      </c>
      <c r="AC770" s="59"/>
      <c r="AD770" s="85">
        <v>46043.0</v>
      </c>
      <c r="AE770" s="86">
        <f t="shared" si="8"/>
        <v>1</v>
      </c>
    </row>
    <row r="771" ht="15.75" customHeight="1">
      <c r="A771" s="87" t="s">
        <v>2182</v>
      </c>
      <c r="B771" s="87" t="s">
        <v>101</v>
      </c>
      <c r="C771" s="88" t="s">
        <v>2183</v>
      </c>
      <c r="D771" s="88" t="s">
        <v>51</v>
      </c>
      <c r="E771" s="88">
        <v>10.0</v>
      </c>
      <c r="F771" s="89">
        <v>920.0</v>
      </c>
      <c r="G771" s="90" t="s">
        <v>53</v>
      </c>
      <c r="H771" s="91">
        <v>46174.0</v>
      </c>
      <c r="I771" s="92" t="s">
        <v>17</v>
      </c>
      <c r="J771" s="92" t="s">
        <v>54</v>
      </c>
      <c r="K771" s="92" t="s">
        <v>66</v>
      </c>
      <c r="L771" s="92" t="s">
        <v>56</v>
      </c>
      <c r="M771" s="90" t="s">
        <v>104</v>
      </c>
      <c r="N771" s="92" t="s">
        <v>58</v>
      </c>
      <c r="O771" s="87" t="s">
        <v>69</v>
      </c>
      <c r="P771" s="87"/>
      <c r="Q771" s="87" t="s">
        <v>491</v>
      </c>
      <c r="R771" s="93" t="s">
        <v>269</v>
      </c>
      <c r="S771" s="87"/>
      <c r="T771" s="87"/>
      <c r="U771" s="94" t="str">
        <f t="array" ref="U771">IFERROR(INDEX(DFD!$D$2:$D$1048791,MATCH($Q771,DFD!$B$2:$B$1048791,0)),"")</f>
        <v/>
      </c>
      <c r="V771" s="94" t="str">
        <f t="array" ref="V771">IFERROR(INDEX(DFD!$F$2:$F$1048791,MATCH($Q771,DFD!$B$2:$B$1048791,0)),"")</f>
        <v/>
      </c>
      <c r="W771" s="97" t="str">
        <f t="array" ref="W771">IFERROR(INDEX(DFD!$E$2:$E$1048791,MATCH($Q771,DFD!$B$2:$B$1048791,0)),"")</f>
        <v/>
      </c>
      <c r="X771" s="97" t="str">
        <f t="array" ref="X771">IFERROR(INDEX(DFD!$K$2:$K$1048791,MATCH($Q771,DFD!$B$2:$B$1048791,0)),"")</f>
        <v/>
      </c>
      <c r="Y771" s="97" t="str">
        <f t="array" ref="Y771">IFERROR(INDEX(DFD!$L$2:$L$1048790,MATCH($Q771,DFD!$B$2:$B$1048790,0)),"")</f>
        <v/>
      </c>
      <c r="Z771" s="97">
        <f t="shared" si="13"/>
        <v>45</v>
      </c>
      <c r="AA771" s="87"/>
      <c r="AB771" s="87" t="s">
        <v>78</v>
      </c>
      <c r="AC771" s="87"/>
      <c r="AD771" s="99">
        <v>46043.0</v>
      </c>
      <c r="AE771" s="100">
        <f t="shared" si="8"/>
        <v>1</v>
      </c>
    </row>
    <row r="772" ht="15.75" customHeight="1">
      <c r="A772" s="59" t="s">
        <v>2184</v>
      </c>
      <c r="B772" s="59" t="s">
        <v>101</v>
      </c>
      <c r="C772" s="60" t="s">
        <v>2185</v>
      </c>
      <c r="D772" s="60" t="s">
        <v>51</v>
      </c>
      <c r="E772" s="60">
        <v>15.0</v>
      </c>
      <c r="F772" s="72">
        <v>9000.0</v>
      </c>
      <c r="G772" s="73" t="s">
        <v>53</v>
      </c>
      <c r="H772" s="74">
        <v>46204.0</v>
      </c>
      <c r="I772" s="67" t="s">
        <v>17</v>
      </c>
      <c r="J772" s="67" t="s">
        <v>54</v>
      </c>
      <c r="K772" s="67" t="s">
        <v>66</v>
      </c>
      <c r="L772" s="67" t="s">
        <v>56</v>
      </c>
      <c r="M772" s="73" t="s">
        <v>104</v>
      </c>
      <c r="N772" s="67" t="s">
        <v>58</v>
      </c>
      <c r="O772" s="59" t="s">
        <v>69</v>
      </c>
      <c r="P772" s="59"/>
      <c r="Q772" s="59" t="s">
        <v>275</v>
      </c>
      <c r="R772" s="76" t="s">
        <v>71</v>
      </c>
      <c r="S772" s="59"/>
      <c r="T772" s="59"/>
      <c r="U772" s="77" t="str">
        <f t="array" ref="U772">IFERROR(INDEX(DFD!$D$2:$D$1048791,MATCH($Q772,DFD!$B$2:$B$1048791,0)),"")</f>
        <v/>
      </c>
      <c r="V772" s="77" t="str">
        <f t="array" ref="V772">IFERROR(INDEX(DFD!$F$2:$F$1048791,MATCH($Q772,DFD!$B$2:$B$1048791,0)),"")</f>
        <v/>
      </c>
      <c r="W772" s="84" t="str">
        <f t="array" ref="W772">IFERROR(INDEX(DFD!$E$2:$E$1048791,MATCH($Q772,DFD!$B$2:$B$1048791,0)),"")</f>
        <v/>
      </c>
      <c r="X772" s="84" t="str">
        <f t="array" ref="X772">IFERROR(INDEX(DFD!$K$2:$K$1048791,MATCH($Q772,DFD!$B$2:$B$1048791,0)),"")</f>
        <v/>
      </c>
      <c r="Y772" s="84" t="str">
        <f t="array" ref="Y772">IFERROR(INDEX(DFD!$L$2:$L$1048790,MATCH($Q772,DFD!$B$2:$B$1048790,0)),"")</f>
        <v/>
      </c>
      <c r="Z772" s="84">
        <f t="shared" si="13"/>
        <v>45</v>
      </c>
      <c r="AA772" s="59"/>
      <c r="AB772" s="59" t="s">
        <v>78</v>
      </c>
      <c r="AC772" s="59"/>
      <c r="AD772" s="85">
        <v>46043.0</v>
      </c>
      <c r="AE772" s="86">
        <f t="shared" si="8"/>
        <v>1</v>
      </c>
    </row>
    <row r="773" ht="15.75" customHeight="1">
      <c r="A773" s="87" t="s">
        <v>2186</v>
      </c>
      <c r="B773" s="87" t="s">
        <v>52</v>
      </c>
      <c r="C773" s="88" t="s">
        <v>2187</v>
      </c>
      <c r="D773" s="88" t="s">
        <v>51</v>
      </c>
      <c r="E773" s="87">
        <v>1.0</v>
      </c>
      <c r="F773" s="89">
        <v>5100.0</v>
      </c>
      <c r="G773" s="90" t="s">
        <v>53</v>
      </c>
      <c r="H773" s="91">
        <v>46143.0</v>
      </c>
      <c r="I773" s="92" t="s">
        <v>17</v>
      </c>
      <c r="J773" s="92" t="s">
        <v>54</v>
      </c>
      <c r="K773" s="92" t="s">
        <v>66</v>
      </c>
      <c r="L773" s="92" t="s">
        <v>56</v>
      </c>
      <c r="M773" s="90" t="s">
        <v>132</v>
      </c>
      <c r="N773" s="92" t="s">
        <v>52</v>
      </c>
      <c r="O773" s="92" t="s">
        <v>89</v>
      </c>
      <c r="P773" s="87"/>
      <c r="Q773" s="87" t="s">
        <v>52</v>
      </c>
      <c r="R773" s="93" t="s">
        <v>373</v>
      </c>
      <c r="S773" s="87"/>
      <c r="T773" s="87"/>
      <c r="U773" s="94" t="str">
        <f t="array" ref="U773">IFERROR(INDEX(DFD!$D$2:$D$1048791,MATCH($Q773,DFD!$B$2:$B$1048791,0)),"")</f>
        <v/>
      </c>
      <c r="V773" s="94" t="str">
        <f t="array" ref="V773">IFERROR(INDEX(DFD!$F$2:$F$1048791,MATCH($Q773,DFD!$B$2:$B$1048791,0)),"")</f>
        <v/>
      </c>
      <c r="W773" s="97" t="str">
        <f t="array" ref="W773">IFERROR(INDEX(DFD!$E$2:$E$1048791,MATCH($Q773,DFD!$B$2:$B$1048791,0)),"")</f>
        <v/>
      </c>
      <c r="X773" s="97" t="str">
        <f t="array" ref="X773">IFERROR(INDEX(DFD!$K$2:$K$1048791,MATCH($Q773,DFD!$B$2:$B$1048791,0)),"")</f>
        <v/>
      </c>
      <c r="Y773" s="97" t="str">
        <f t="array" ref="Y773">IFERROR(INDEX(DFD!$L$2:$L$1048790,MATCH($Q773,DFD!$B$2:$B$1048790,0)),"")</f>
        <v/>
      </c>
      <c r="Z773" s="97">
        <f t="shared" si="13"/>
        <v>45</v>
      </c>
      <c r="AA773" s="87"/>
      <c r="AB773" s="87" t="s">
        <v>72</v>
      </c>
      <c r="AC773" s="87"/>
      <c r="AD773" s="99">
        <v>46043.0</v>
      </c>
      <c r="AE773" s="100">
        <f t="shared" si="8"/>
        <v>1</v>
      </c>
    </row>
    <row r="774" ht="15.75" customHeight="1">
      <c r="A774" s="59" t="s">
        <v>2188</v>
      </c>
      <c r="B774" s="59" t="s">
        <v>94</v>
      </c>
      <c r="C774" s="60" t="s">
        <v>2189</v>
      </c>
      <c r="D774" s="60" t="s">
        <v>51</v>
      </c>
      <c r="E774" s="60">
        <v>1.0</v>
      </c>
      <c r="F774" s="72">
        <v>48672.09</v>
      </c>
      <c r="G774" s="73" t="s">
        <v>53</v>
      </c>
      <c r="H774" s="74">
        <v>46266.0</v>
      </c>
      <c r="I774" s="67" t="s">
        <v>17</v>
      </c>
      <c r="J774" s="67" t="s">
        <v>54</v>
      </c>
      <c r="K774" s="67" t="s">
        <v>55</v>
      </c>
      <c r="L774" s="67" t="s">
        <v>67</v>
      </c>
      <c r="M774" s="73" t="s">
        <v>68</v>
      </c>
      <c r="N774" s="67" t="s">
        <v>5</v>
      </c>
      <c r="O774" s="59" t="s">
        <v>69</v>
      </c>
      <c r="P774" s="59"/>
      <c r="Q774" s="59">
        <v>2025.0</v>
      </c>
      <c r="R774" s="76" t="s">
        <v>71</v>
      </c>
      <c r="S774" s="59"/>
      <c r="T774" s="59"/>
      <c r="U774" s="77" t="s">
        <v>2190</v>
      </c>
      <c r="V774" s="77" t="s">
        <v>2191</v>
      </c>
      <c r="W774" s="84" t="str">
        <f t="array" ref="W774">IFERROR(INDEX(DFD!$E$2:$E$1048791,MATCH($Q774,DFD!$B$2:$B$1048791,0)),"")</f>
        <v/>
      </c>
      <c r="X774" s="84" t="str">
        <f t="array" ref="X774">IFERROR(INDEX(DFD!$K$2:$K$1048791,MATCH($Q774,DFD!$B$2:$B$1048791,0)),"")</f>
        <v/>
      </c>
      <c r="Y774" s="84" t="str">
        <f t="array" ref="Y774">IFERROR(INDEX(DFD!$L$2:$L$1048790,MATCH($Q774,DFD!$B$2:$B$1048790,0)),"")</f>
        <v/>
      </c>
      <c r="Z774" s="84">
        <f t="shared" si="13"/>
        <v>45</v>
      </c>
      <c r="AA774" s="59"/>
      <c r="AB774" s="59" t="s">
        <v>78</v>
      </c>
      <c r="AC774" s="59"/>
      <c r="AD774" s="85">
        <v>46043.0</v>
      </c>
      <c r="AE774" s="86">
        <f t="shared" si="8"/>
        <v>1</v>
      </c>
    </row>
    <row r="775" ht="15.75" customHeight="1">
      <c r="A775" s="87" t="s">
        <v>2192</v>
      </c>
      <c r="B775" s="87" t="s">
        <v>148</v>
      </c>
      <c r="C775" s="88" t="s">
        <v>2193</v>
      </c>
      <c r="D775" s="88" t="s">
        <v>51</v>
      </c>
      <c r="E775" s="88">
        <v>1.0</v>
      </c>
      <c r="F775" s="89">
        <v>150.0</v>
      </c>
      <c r="G775" s="90" t="s">
        <v>53</v>
      </c>
      <c r="H775" s="91">
        <v>46143.0</v>
      </c>
      <c r="I775" s="92" t="s">
        <v>17</v>
      </c>
      <c r="J775" s="92" t="s">
        <v>54</v>
      </c>
      <c r="K775" s="92" t="s">
        <v>66</v>
      </c>
      <c r="L775" s="92" t="s">
        <v>67</v>
      </c>
      <c r="M775" s="90" t="s">
        <v>68</v>
      </c>
      <c r="N775" s="92" t="s">
        <v>5</v>
      </c>
      <c r="O775" s="87" t="s">
        <v>69</v>
      </c>
      <c r="P775" s="87"/>
      <c r="Q775" s="87" t="s">
        <v>800</v>
      </c>
      <c r="R775" s="93" t="s">
        <v>287</v>
      </c>
      <c r="S775" s="87"/>
      <c r="T775" s="87"/>
      <c r="U775" s="94" t="str">
        <f t="array" ref="U775">IFERROR(INDEX(DFD!$D$2:$D$1048791,MATCH($Q775,DFD!$B$2:$B$1048791,0)),"")</f>
        <v/>
      </c>
      <c r="V775" s="94" t="str">
        <f t="array" ref="V775">IFERROR(INDEX(DFD!$F$2:$F$1048791,MATCH($Q775,DFD!$B$2:$B$1048791,0)),"")</f>
        <v/>
      </c>
      <c r="W775" s="97" t="str">
        <f t="array" ref="W775">IFERROR(INDEX(DFD!$E$2:$E$1048791,MATCH($Q775,DFD!$B$2:$B$1048791,0)),"")</f>
        <v/>
      </c>
      <c r="X775" s="97" t="str">
        <f t="array" ref="X775">IFERROR(INDEX(DFD!$K$2:$K$1048791,MATCH($Q775,DFD!$B$2:$B$1048791,0)),"")</f>
        <v/>
      </c>
      <c r="Y775" s="97" t="str">
        <f t="array" ref="Y775">IFERROR(INDEX(DFD!$L$2:$L$1048790,MATCH($Q775,DFD!$B$2:$B$1048790,0)),"")</f>
        <v/>
      </c>
      <c r="Z775" s="97">
        <f t="shared" si="13"/>
        <v>45</v>
      </c>
      <c r="AA775" s="87"/>
      <c r="AB775" s="87" t="s">
        <v>78</v>
      </c>
      <c r="AC775" s="87"/>
      <c r="AD775" s="99">
        <v>46043.0</v>
      </c>
      <c r="AE775" s="100">
        <f t="shared" si="8"/>
        <v>1</v>
      </c>
    </row>
    <row r="776" ht="15.75" customHeight="1">
      <c r="A776" s="59" t="s">
        <v>2194</v>
      </c>
      <c r="B776" s="59" t="s">
        <v>101</v>
      </c>
      <c r="C776" s="60" t="s">
        <v>2195</v>
      </c>
      <c r="D776" s="60" t="s">
        <v>51</v>
      </c>
      <c r="E776" s="60">
        <v>1.0</v>
      </c>
      <c r="F776" s="72">
        <v>120.0</v>
      </c>
      <c r="G776" s="73" t="s">
        <v>53</v>
      </c>
      <c r="H776" s="74">
        <v>46143.0</v>
      </c>
      <c r="I776" s="67" t="s">
        <v>17</v>
      </c>
      <c r="J776" s="67" t="s">
        <v>54</v>
      </c>
      <c r="K776" s="67" t="s">
        <v>66</v>
      </c>
      <c r="L776" s="67" t="s">
        <v>56</v>
      </c>
      <c r="M776" s="73" t="s">
        <v>132</v>
      </c>
      <c r="N776" s="67" t="s">
        <v>58</v>
      </c>
      <c r="O776" s="67" t="s">
        <v>89</v>
      </c>
      <c r="P776" s="59"/>
      <c r="Q776" s="59" t="s">
        <v>180</v>
      </c>
      <c r="R776" s="76" t="s">
        <v>323</v>
      </c>
      <c r="S776" s="59"/>
      <c r="T776" s="59"/>
      <c r="U776" s="77" t="str">
        <f t="array" ref="U776">IFERROR(INDEX(DFD!$D$2:$D$1048791,MATCH($Q776,DFD!$B$2:$B$1048791,0)),"")</f>
        <v/>
      </c>
      <c r="V776" s="77" t="str">
        <f t="array" ref="V776">IFERROR(INDEX(DFD!$F$2:$F$1048791,MATCH($Q776,DFD!$B$2:$B$1048791,0)),"")</f>
        <v/>
      </c>
      <c r="W776" s="84" t="str">
        <f t="array" ref="W776">IFERROR(INDEX(DFD!$E$2:$E$1048791,MATCH($Q776,DFD!$B$2:$B$1048791,0)),"")</f>
        <v/>
      </c>
      <c r="X776" s="84" t="str">
        <f t="array" ref="X776">IFERROR(INDEX(DFD!$K$2:$K$1048791,MATCH($Q776,DFD!$B$2:$B$1048791,0)),"")</f>
        <v/>
      </c>
      <c r="Y776" s="84" t="str">
        <f t="array" ref="Y776">IFERROR(INDEX(DFD!$L$2:$L$1048790,MATCH($Q776,DFD!$B$2:$B$1048790,0)),"")</f>
        <v/>
      </c>
      <c r="Z776" s="84">
        <f t="shared" si="13"/>
        <v>45</v>
      </c>
      <c r="AA776" s="59"/>
      <c r="AB776" s="59" t="s">
        <v>78</v>
      </c>
      <c r="AC776" s="59"/>
      <c r="AD776" s="85">
        <v>46043.0</v>
      </c>
      <c r="AE776" s="86">
        <f t="shared" si="8"/>
        <v>1</v>
      </c>
    </row>
    <row r="777" ht="15.75" customHeight="1">
      <c r="A777" s="87" t="s">
        <v>2196</v>
      </c>
      <c r="B777" s="92" t="s">
        <v>101</v>
      </c>
      <c r="C777" s="88" t="s">
        <v>2197</v>
      </c>
      <c r="D777" s="116" t="s">
        <v>51</v>
      </c>
      <c r="E777" s="116">
        <v>5.0</v>
      </c>
      <c r="F777" s="137">
        <v>2100.0</v>
      </c>
      <c r="G777" s="90" t="s">
        <v>53</v>
      </c>
      <c r="H777" s="118">
        <v>46174.0</v>
      </c>
      <c r="I777" s="92" t="s">
        <v>18</v>
      </c>
      <c r="J777" s="92" t="s">
        <v>54</v>
      </c>
      <c r="K777" s="92" t="s">
        <v>83</v>
      </c>
      <c r="L777" s="92" t="s">
        <v>56</v>
      </c>
      <c r="M777" s="90" t="s">
        <v>68</v>
      </c>
      <c r="N777" s="92" t="s">
        <v>58</v>
      </c>
      <c r="O777" s="87" t="s">
        <v>69</v>
      </c>
      <c r="P777" s="87"/>
      <c r="Q777" s="87" t="s">
        <v>2198</v>
      </c>
      <c r="R777" s="93" t="s">
        <v>269</v>
      </c>
      <c r="S777" s="87"/>
      <c r="T777" s="87"/>
      <c r="U777" s="94" t="str">
        <f t="array" ref="U777">IFERROR(INDEX(DFD!$D$2:$D$1048791,MATCH($Q777,DFD!$B$2:$B$1048791,0)),"")</f>
        <v/>
      </c>
      <c r="V777" s="94" t="str">
        <f t="array" ref="V777">IFERROR(INDEX(DFD!$F$2:$F$1048791,MATCH($Q777,DFD!$B$2:$B$1048791,0)),"")</f>
        <v/>
      </c>
      <c r="W777" s="97" t="str">
        <f t="array" ref="W777">IFERROR(INDEX(DFD!$E$2:$E$1048791,MATCH($Q777,DFD!$B$2:$B$1048791,0)),"")</f>
        <v/>
      </c>
      <c r="X777" s="97" t="str">
        <f t="array" ref="X777">IFERROR(INDEX(DFD!$K$2:$K$1048791,MATCH($Q777,DFD!$B$2:$B$1048791,0)),"")</f>
        <v/>
      </c>
      <c r="Y777" s="97" t="str">
        <f t="array" ref="Y777">IFERROR(INDEX(DFD!$L$2:$L$1048790,MATCH($Q777,DFD!$B$2:$B$1048790,0)),"")</f>
        <v/>
      </c>
      <c r="Z777" s="97">
        <f t="shared" si="13"/>
        <v>45</v>
      </c>
      <c r="AA777" s="87"/>
      <c r="AB777" s="87" t="s">
        <v>78</v>
      </c>
      <c r="AC777" s="87"/>
      <c r="AD777" s="99">
        <v>46043.0</v>
      </c>
      <c r="AE777" s="100">
        <f t="shared" si="8"/>
        <v>1</v>
      </c>
    </row>
    <row r="778" ht="15.75" customHeight="1">
      <c r="A778" s="59" t="s">
        <v>2199</v>
      </c>
      <c r="B778" s="59" t="s">
        <v>52</v>
      </c>
      <c r="C778" s="60" t="s">
        <v>2200</v>
      </c>
      <c r="D778" s="60" t="s">
        <v>51</v>
      </c>
      <c r="E778" s="60">
        <v>4.0</v>
      </c>
      <c r="F778" s="72">
        <v>6000.0</v>
      </c>
      <c r="G778" s="73" t="s">
        <v>53</v>
      </c>
      <c r="H778" s="74">
        <v>46204.0</v>
      </c>
      <c r="I778" s="67" t="s">
        <v>17</v>
      </c>
      <c r="J778" s="67" t="s">
        <v>54</v>
      </c>
      <c r="K778" s="67" t="s">
        <v>66</v>
      </c>
      <c r="L778" s="67" t="s">
        <v>56</v>
      </c>
      <c r="M778" s="73" t="s">
        <v>104</v>
      </c>
      <c r="N778" s="67" t="s">
        <v>58</v>
      </c>
      <c r="O778" s="59" t="s">
        <v>69</v>
      </c>
      <c r="P778" s="59"/>
      <c r="Q778" s="59" t="s">
        <v>52</v>
      </c>
      <c r="R778" s="76" t="s">
        <v>86</v>
      </c>
      <c r="S778" s="59"/>
      <c r="T778" s="59"/>
      <c r="U778" s="77" t="str">
        <f t="array" ref="U778">IFERROR(INDEX(DFD!$D$2:$D$1048791,MATCH($Q778,DFD!$B$2:$B$1048791,0)),"")</f>
        <v/>
      </c>
      <c r="V778" s="77" t="str">
        <f t="array" ref="V778">IFERROR(INDEX(DFD!$F$2:$F$1048791,MATCH($Q778,DFD!$B$2:$B$1048791,0)),"")</f>
        <v/>
      </c>
      <c r="W778" s="84" t="str">
        <f t="array" ref="W778">IFERROR(INDEX(DFD!$E$2:$E$1048791,MATCH($Q778,DFD!$B$2:$B$1048791,0)),"")</f>
        <v/>
      </c>
      <c r="X778" s="84" t="str">
        <f t="array" ref="X778">IFERROR(INDEX(DFD!$K$2:$K$1048791,MATCH($Q778,DFD!$B$2:$B$1048791,0)),"")</f>
        <v/>
      </c>
      <c r="Y778" s="84" t="str">
        <f t="array" ref="Y778">IFERROR(INDEX(DFD!$L$2:$L$1048790,MATCH($Q778,DFD!$B$2:$B$1048790,0)),"")</f>
        <v/>
      </c>
      <c r="Z778" s="84">
        <f t="shared" si="13"/>
        <v>45</v>
      </c>
      <c r="AA778" s="59"/>
      <c r="AB778" s="59" t="s">
        <v>72</v>
      </c>
      <c r="AC778" s="59"/>
      <c r="AD778" s="85">
        <v>46043.0</v>
      </c>
      <c r="AE778" s="86">
        <f t="shared" si="8"/>
        <v>1</v>
      </c>
    </row>
    <row r="779" ht="15.75" customHeight="1">
      <c r="A779" s="87" t="s">
        <v>2201</v>
      </c>
      <c r="B779" s="104" t="s">
        <v>101</v>
      </c>
      <c r="C779" s="88" t="s">
        <v>309</v>
      </c>
      <c r="D779" s="116" t="s">
        <v>51</v>
      </c>
      <c r="E779" s="116">
        <v>15.0</v>
      </c>
      <c r="F779" s="137">
        <v>12000.0</v>
      </c>
      <c r="G779" s="90" t="s">
        <v>53</v>
      </c>
      <c r="H779" s="118">
        <v>46235.0</v>
      </c>
      <c r="I779" s="92" t="s">
        <v>18</v>
      </c>
      <c r="J779" s="92" t="s">
        <v>54</v>
      </c>
      <c r="K779" s="92" t="s">
        <v>83</v>
      </c>
      <c r="L779" s="92" t="s">
        <v>197</v>
      </c>
      <c r="M779" s="90" t="s">
        <v>132</v>
      </c>
      <c r="N779" s="92" t="s">
        <v>58</v>
      </c>
      <c r="O779" s="92" t="s">
        <v>89</v>
      </c>
      <c r="P779" s="87"/>
      <c r="Q779" s="87" t="s">
        <v>214</v>
      </c>
      <c r="R779" s="93" t="s">
        <v>217</v>
      </c>
      <c r="S779" s="87"/>
      <c r="T779" s="87"/>
      <c r="U779" s="94" t="str">
        <f t="array" ref="U779">IFERROR(INDEX(DFD!$D$2:$D$1048791,MATCH($Q779,DFD!$B$2:$B$1048791,0)),"")</f>
        <v/>
      </c>
      <c r="V779" s="94" t="str">
        <f t="array" ref="V779">IFERROR(INDEX(DFD!$F$2:$F$1048791,MATCH($Q779,DFD!$B$2:$B$1048791,0)),"")</f>
        <v/>
      </c>
      <c r="W779" s="97" t="str">
        <f t="array" ref="W779">IFERROR(INDEX(DFD!$E$2:$E$1048791,MATCH($Q779,DFD!$B$2:$B$1048791,0)),"")</f>
        <v/>
      </c>
      <c r="X779" s="97" t="str">
        <f t="array" ref="X779">IFERROR(INDEX(DFD!$K$2:$K$1048791,MATCH($Q779,DFD!$B$2:$B$1048791,0)),"")</f>
        <v/>
      </c>
      <c r="Y779" s="97" t="str">
        <f t="array" ref="Y779">IFERROR(INDEX(DFD!$L$2:$L$1048790,MATCH($Q779,DFD!$B$2:$B$1048790,0)),"")</f>
        <v/>
      </c>
      <c r="Z779" s="97">
        <f t="shared" si="13"/>
        <v>45</v>
      </c>
      <c r="AA779" s="87"/>
      <c r="AB779" s="87" t="s">
        <v>78</v>
      </c>
      <c r="AC779" s="87"/>
      <c r="AD779" s="99">
        <v>46043.0</v>
      </c>
      <c r="AE779" s="100">
        <f t="shared" si="8"/>
        <v>1</v>
      </c>
    </row>
    <row r="780" ht="15.75" customHeight="1">
      <c r="A780" s="67" t="s">
        <v>2202</v>
      </c>
      <c r="B780" s="59" t="s">
        <v>2203</v>
      </c>
      <c r="C780" s="60" t="s">
        <v>2204</v>
      </c>
      <c r="D780" s="60" t="s">
        <v>51</v>
      </c>
      <c r="E780" s="60">
        <v>1.0</v>
      </c>
      <c r="F780" s="72">
        <v>100000.0</v>
      </c>
      <c r="G780" s="73" t="s">
        <v>53</v>
      </c>
      <c r="H780" s="74">
        <v>46174.0</v>
      </c>
      <c r="I780" s="67" t="s">
        <v>18</v>
      </c>
      <c r="J780" s="67" t="s">
        <v>54</v>
      </c>
      <c r="K780" s="67" t="s">
        <v>83</v>
      </c>
      <c r="L780" s="67" t="s">
        <v>67</v>
      </c>
      <c r="M780" s="73" t="s">
        <v>104</v>
      </c>
      <c r="N780" s="67" t="s">
        <v>20</v>
      </c>
      <c r="O780" s="59" t="s">
        <v>69</v>
      </c>
      <c r="P780" s="59"/>
      <c r="Q780" s="59" t="s">
        <v>2205</v>
      </c>
      <c r="R780" s="76" t="s">
        <v>531</v>
      </c>
      <c r="S780" s="59"/>
      <c r="T780" s="59"/>
      <c r="U780" s="77" t="str">
        <f t="array" ref="U780">IFERROR(INDEX(DFD!$D$2:$D$1048791,MATCH($Q780,DFD!$B$2:$B$1048791,0)),"")</f>
        <v/>
      </c>
      <c r="V780" s="77" t="str">
        <f t="array" ref="V780">IFERROR(INDEX(DFD!$F$2:$F$1048791,MATCH($Q780,DFD!$B$2:$B$1048791,0)),"")</f>
        <v/>
      </c>
      <c r="W780" s="84" t="str">
        <f t="array" ref="W780">IFERROR(INDEX(DFD!$E$2:$E$1048791,MATCH($Q780,DFD!$B$2:$B$1048791,0)),"")</f>
        <v/>
      </c>
      <c r="X780" s="84" t="str">
        <f t="array" ref="X780">IFERROR(INDEX(DFD!$K$2:$K$1048791,MATCH($Q780,DFD!$B$2:$B$1048791,0)),"")</f>
        <v/>
      </c>
      <c r="Y780" s="84" t="str">
        <f t="array" ref="Y780">IFERROR(INDEX(DFD!$L$2:$L$1048790,MATCH($Q780,DFD!$B$2:$B$1048790,0)),"")</f>
        <v/>
      </c>
      <c r="Z780" s="84">
        <f t="shared" si="13"/>
        <v>45</v>
      </c>
      <c r="AA780" s="59"/>
      <c r="AB780" s="59" t="s">
        <v>78</v>
      </c>
      <c r="AC780" s="59" t="s">
        <v>2206</v>
      </c>
      <c r="AD780" s="85">
        <v>46043.0</v>
      </c>
      <c r="AE780" s="86">
        <f t="shared" si="8"/>
        <v>1</v>
      </c>
    </row>
    <row r="781" ht="15.75" customHeight="1">
      <c r="A781" s="92" t="s">
        <v>2202</v>
      </c>
      <c r="B781" s="87" t="s">
        <v>2203</v>
      </c>
      <c r="C781" s="88" t="s">
        <v>2204</v>
      </c>
      <c r="D781" s="88" t="s">
        <v>51</v>
      </c>
      <c r="E781" s="88">
        <v>1.0</v>
      </c>
      <c r="F781" s="89">
        <v>198000.0</v>
      </c>
      <c r="G781" s="90" t="s">
        <v>53</v>
      </c>
      <c r="H781" s="91">
        <v>46174.0</v>
      </c>
      <c r="I781" s="92" t="s">
        <v>18</v>
      </c>
      <c r="J781" s="92" t="s">
        <v>54</v>
      </c>
      <c r="K781" s="92" t="s">
        <v>83</v>
      </c>
      <c r="L781" s="92" t="s">
        <v>67</v>
      </c>
      <c r="M781" s="90" t="s">
        <v>104</v>
      </c>
      <c r="N781" s="92" t="s">
        <v>20</v>
      </c>
      <c r="O781" s="87" t="s">
        <v>69</v>
      </c>
      <c r="P781" s="87"/>
      <c r="Q781" s="87" t="s">
        <v>1317</v>
      </c>
      <c r="R781" s="93" t="s">
        <v>531</v>
      </c>
      <c r="S781" s="87"/>
      <c r="T781" s="87"/>
      <c r="U781" s="94" t="str">
        <f t="array" ref="U781">IFERROR(INDEX(DFD!$D$2:$D$1048791,MATCH($Q781,DFD!$B$2:$B$1048791,0)),"")</f>
        <v/>
      </c>
      <c r="V781" s="94" t="str">
        <f t="array" ref="V781">IFERROR(INDEX(DFD!$F$2:$F$1048791,MATCH($Q781,DFD!$B$2:$B$1048791,0)),"")</f>
        <v/>
      </c>
      <c r="W781" s="97" t="str">
        <f t="array" ref="W781">IFERROR(INDEX(DFD!$E$2:$E$1048791,MATCH($Q781,DFD!$B$2:$B$1048791,0)),"")</f>
        <v/>
      </c>
      <c r="X781" s="97" t="str">
        <f t="array" ref="X781">IFERROR(INDEX(DFD!$K$2:$K$1048791,MATCH($Q781,DFD!$B$2:$B$1048791,0)),"")</f>
        <v/>
      </c>
      <c r="Y781" s="97" t="str">
        <f t="array" ref="Y781">IFERROR(INDEX(DFD!$L$2:$L$1048790,MATCH($Q781,DFD!$B$2:$B$1048790,0)),"")</f>
        <v/>
      </c>
      <c r="Z781" s="97">
        <f t="shared" si="13"/>
        <v>45</v>
      </c>
      <c r="AA781" s="87"/>
      <c r="AB781" s="87" t="s">
        <v>72</v>
      </c>
      <c r="AC781" s="87"/>
      <c r="AD781" s="99">
        <v>46043.0</v>
      </c>
      <c r="AE781" s="100">
        <f t="shared" si="8"/>
        <v>1</v>
      </c>
    </row>
    <row r="782" ht="15.75" customHeight="1">
      <c r="A782" s="59" t="s">
        <v>2207</v>
      </c>
      <c r="B782" s="59" t="s">
        <v>101</v>
      </c>
      <c r="C782" s="60" t="s">
        <v>2208</v>
      </c>
      <c r="D782" s="60" t="s">
        <v>51</v>
      </c>
      <c r="E782" s="60">
        <v>30.0</v>
      </c>
      <c r="F782" s="72">
        <v>5400.0</v>
      </c>
      <c r="G782" s="73" t="s">
        <v>53</v>
      </c>
      <c r="H782" s="74">
        <v>46204.0</v>
      </c>
      <c r="I782" s="67" t="s">
        <v>17</v>
      </c>
      <c r="J782" s="67" t="s">
        <v>54</v>
      </c>
      <c r="K782" s="67" t="s">
        <v>66</v>
      </c>
      <c r="L782" s="67" t="s">
        <v>197</v>
      </c>
      <c r="M782" s="73" t="s">
        <v>132</v>
      </c>
      <c r="N782" s="67" t="s">
        <v>58</v>
      </c>
      <c r="O782" s="67" t="s">
        <v>89</v>
      </c>
      <c r="P782" s="59"/>
      <c r="Q782" s="59" t="s">
        <v>756</v>
      </c>
      <c r="R782" s="76" t="s">
        <v>71</v>
      </c>
      <c r="S782" s="59"/>
      <c r="T782" s="59"/>
      <c r="U782" s="77" t="s">
        <v>668</v>
      </c>
      <c r="V782" s="77" t="str">
        <f t="array" ref="V782">IFERROR(INDEX(DFD!$F$2:$F$1048791,MATCH($Q782,DFD!$B$2:$B$1048791,0)),"")</f>
        <v/>
      </c>
      <c r="W782" s="84" t="str">
        <f t="array" ref="W782">IFERROR(INDEX(DFD!$E$2:$E$1048791,MATCH($Q782,DFD!$B$2:$B$1048791,0)),"")</f>
        <v/>
      </c>
      <c r="X782" s="84" t="str">
        <f t="array" ref="X782">IFERROR(INDEX(DFD!$K$2:$K$1048791,MATCH($Q782,DFD!$B$2:$B$1048791,0)),"")</f>
        <v/>
      </c>
      <c r="Y782" s="84" t="str">
        <f t="array" ref="Y782">IFERROR(INDEX(DFD!$L$2:$L$1048790,MATCH($Q782,DFD!$B$2:$B$1048790,0)),"")</f>
        <v/>
      </c>
      <c r="Z782" s="84">
        <f t="shared" si="13"/>
        <v>45</v>
      </c>
      <c r="AA782" s="59"/>
      <c r="AB782" s="59" t="s">
        <v>78</v>
      </c>
      <c r="AC782" s="59"/>
      <c r="AD782" s="85">
        <v>46043.0</v>
      </c>
      <c r="AE782" s="86">
        <f t="shared" si="8"/>
        <v>1</v>
      </c>
    </row>
    <row r="783" ht="15.75" customHeight="1">
      <c r="A783" s="87" t="s">
        <v>2209</v>
      </c>
      <c r="B783" s="87" t="s">
        <v>101</v>
      </c>
      <c r="C783" s="88" t="s">
        <v>2210</v>
      </c>
      <c r="D783" s="88" t="s">
        <v>51</v>
      </c>
      <c r="E783" s="88">
        <v>40.0</v>
      </c>
      <c r="F783" s="89">
        <v>18240.0</v>
      </c>
      <c r="G783" s="90" t="s">
        <v>53</v>
      </c>
      <c r="H783" s="91">
        <v>46235.0</v>
      </c>
      <c r="I783" s="92" t="s">
        <v>17</v>
      </c>
      <c r="J783" s="92" t="s">
        <v>54</v>
      </c>
      <c r="K783" s="92" t="s">
        <v>66</v>
      </c>
      <c r="L783" s="92" t="s">
        <v>197</v>
      </c>
      <c r="M783" s="90" t="s">
        <v>68</v>
      </c>
      <c r="N783" s="92" t="s">
        <v>58</v>
      </c>
      <c r="O783" s="87" t="s">
        <v>69</v>
      </c>
      <c r="P783" s="87"/>
      <c r="Q783" s="87" t="s">
        <v>2211</v>
      </c>
      <c r="R783" s="93" t="s">
        <v>71</v>
      </c>
      <c r="S783" s="87"/>
      <c r="T783" s="87"/>
      <c r="U783" s="94" t="str">
        <f t="array" ref="U783">IFERROR(INDEX(DFD!$D$2:$D$1048791,MATCH($Q783,DFD!$B$2:$B$1048791,0)),"")</f>
        <v/>
      </c>
      <c r="V783" s="94" t="str">
        <f t="array" ref="V783">IFERROR(INDEX(DFD!$F$2:$F$1048791,MATCH($Q783,DFD!$B$2:$B$1048791,0)),"")</f>
        <v/>
      </c>
      <c r="W783" s="97" t="str">
        <f t="array" ref="W783">IFERROR(INDEX(DFD!$E$2:$E$1048791,MATCH($Q783,DFD!$B$2:$B$1048791,0)),"")</f>
        <v/>
      </c>
      <c r="X783" s="97" t="str">
        <f t="array" ref="X783">IFERROR(INDEX(DFD!$K$2:$K$1048791,MATCH($Q783,DFD!$B$2:$B$1048791,0)),"")</f>
        <v/>
      </c>
      <c r="Y783" s="97" t="str">
        <f t="array" ref="Y783">IFERROR(INDEX(DFD!$L$2:$L$1048790,MATCH($Q783,DFD!$B$2:$B$1048790,0)),"")</f>
        <v/>
      </c>
      <c r="Z783" s="97">
        <f t="shared" si="13"/>
        <v>45</v>
      </c>
      <c r="AA783" s="87"/>
      <c r="AB783" s="87" t="s">
        <v>78</v>
      </c>
      <c r="AC783" s="87"/>
      <c r="AD783" s="99">
        <v>46043.0</v>
      </c>
      <c r="AE783" s="100">
        <f t="shared" si="8"/>
        <v>1</v>
      </c>
    </row>
    <row r="784" ht="15.75" customHeight="1">
      <c r="A784" s="59" t="s">
        <v>2212</v>
      </c>
      <c r="B784" s="59" t="s">
        <v>92</v>
      </c>
      <c r="C784" s="60" t="s">
        <v>2213</v>
      </c>
      <c r="D784" s="60" t="s">
        <v>51</v>
      </c>
      <c r="E784" s="60">
        <v>2.0</v>
      </c>
      <c r="F784" s="72">
        <v>5000.0</v>
      </c>
      <c r="G784" s="73" t="s">
        <v>53</v>
      </c>
      <c r="H784" s="74">
        <v>46204.0</v>
      </c>
      <c r="I784" s="67" t="s">
        <v>17</v>
      </c>
      <c r="J784" s="67" t="s">
        <v>54</v>
      </c>
      <c r="K784" s="67" t="s">
        <v>66</v>
      </c>
      <c r="L784" s="67" t="s">
        <v>67</v>
      </c>
      <c r="M784" s="73" t="s">
        <v>104</v>
      </c>
      <c r="N784" s="67" t="s">
        <v>58</v>
      </c>
      <c r="O784" s="59" t="s">
        <v>69</v>
      </c>
      <c r="P784" s="59"/>
      <c r="Q784" s="59" t="s">
        <v>2211</v>
      </c>
      <c r="R784" s="76" t="s">
        <v>71</v>
      </c>
      <c r="S784" s="59"/>
      <c r="T784" s="59"/>
      <c r="U784" s="77" t="str">
        <f t="array" ref="U784">IFERROR(INDEX(DFD!$D$2:$D$1048791,MATCH($Q784,DFD!$B$2:$B$1048791,0)),"")</f>
        <v/>
      </c>
      <c r="V784" s="77" t="str">
        <f t="array" ref="V784">IFERROR(INDEX(DFD!$F$2:$F$1048791,MATCH($Q784,DFD!$B$2:$B$1048791,0)),"")</f>
        <v/>
      </c>
      <c r="W784" s="84" t="str">
        <f t="array" ref="W784">IFERROR(INDEX(DFD!$E$2:$E$1048791,MATCH($Q784,DFD!$B$2:$B$1048791,0)),"")</f>
        <v/>
      </c>
      <c r="X784" s="84" t="str">
        <f t="array" ref="X784">IFERROR(INDEX(DFD!$K$2:$K$1048791,MATCH($Q784,DFD!$B$2:$B$1048791,0)),"")</f>
        <v/>
      </c>
      <c r="Y784" s="84" t="str">
        <f t="array" ref="Y784">IFERROR(INDEX(DFD!$L$2:$L$1048790,MATCH($Q784,DFD!$B$2:$B$1048790,0)),"")</f>
        <v/>
      </c>
      <c r="Z784" s="84">
        <f t="shared" si="13"/>
        <v>45</v>
      </c>
      <c r="AA784" s="59"/>
      <c r="AB784" s="59" t="s">
        <v>78</v>
      </c>
      <c r="AC784" s="59"/>
      <c r="AD784" s="85">
        <v>46043.0</v>
      </c>
      <c r="AE784" s="86">
        <f t="shared" si="8"/>
        <v>1</v>
      </c>
    </row>
    <row r="785" ht="15.75" customHeight="1">
      <c r="A785" s="87" t="s">
        <v>2214</v>
      </c>
      <c r="B785" s="87" t="s">
        <v>91</v>
      </c>
      <c r="C785" s="88" t="s">
        <v>2215</v>
      </c>
      <c r="D785" s="88" t="s">
        <v>51</v>
      </c>
      <c r="E785" s="88">
        <v>10.0</v>
      </c>
      <c r="F785" s="89">
        <v>16000.0</v>
      </c>
      <c r="G785" s="90" t="s">
        <v>53</v>
      </c>
      <c r="H785" s="91">
        <v>46235.0</v>
      </c>
      <c r="I785" s="92" t="s">
        <v>17</v>
      </c>
      <c r="J785" s="92" t="s">
        <v>54</v>
      </c>
      <c r="K785" s="92" t="s">
        <v>66</v>
      </c>
      <c r="L785" s="92" t="s">
        <v>67</v>
      </c>
      <c r="M785" s="90" t="s">
        <v>104</v>
      </c>
      <c r="N785" s="92" t="s">
        <v>5</v>
      </c>
      <c r="O785" s="87" t="s">
        <v>1128</v>
      </c>
      <c r="P785" s="87"/>
      <c r="Q785" s="87">
        <v>2025.0</v>
      </c>
      <c r="R785" s="93" t="s">
        <v>71</v>
      </c>
      <c r="S785" s="87"/>
      <c r="T785" s="87"/>
      <c r="U785" s="97" t="s">
        <v>2216</v>
      </c>
      <c r="V785" s="94" t="s">
        <v>2217</v>
      </c>
      <c r="W785" s="97" t="str">
        <f t="array" ref="W785">IFERROR(INDEX(DFD!$E$2:$E$1048791,MATCH($Q785,DFD!$B$2:$B$1048791,0)),"")</f>
        <v/>
      </c>
      <c r="X785" s="97" t="str">
        <f t="array" ref="X785">IFERROR(INDEX(DFD!$K$2:$K$1048791,MATCH($Q785,DFD!$B$2:$B$1048791,0)),"")</f>
        <v/>
      </c>
      <c r="Y785" s="97" t="str">
        <f t="array" ref="Y785">IFERROR(INDEX(DFD!$L$2:$L$1048790,MATCH($Q785,DFD!$B$2:$B$1048790,0)),"")</f>
        <v/>
      </c>
      <c r="Z785" s="97">
        <f t="shared" si="13"/>
        <v>45</v>
      </c>
      <c r="AA785" s="87"/>
      <c r="AB785" s="87" t="s">
        <v>1131</v>
      </c>
      <c r="AC785" s="87"/>
      <c r="AD785" s="99">
        <v>46043.0</v>
      </c>
      <c r="AE785" s="100">
        <f t="shared" si="8"/>
        <v>1</v>
      </c>
    </row>
    <row r="786" ht="15.75" customHeight="1">
      <c r="A786" s="59" t="s">
        <v>2218</v>
      </c>
      <c r="B786" s="59" t="s">
        <v>80</v>
      </c>
      <c r="C786" s="60" t="s">
        <v>2215</v>
      </c>
      <c r="D786" s="60" t="s">
        <v>51</v>
      </c>
      <c r="E786" s="60">
        <v>10.0</v>
      </c>
      <c r="F786" s="72">
        <v>16000.0</v>
      </c>
      <c r="G786" s="73" t="s">
        <v>53</v>
      </c>
      <c r="H786" s="74">
        <v>46235.0</v>
      </c>
      <c r="I786" s="67" t="s">
        <v>17</v>
      </c>
      <c r="J786" s="67" t="s">
        <v>54</v>
      </c>
      <c r="K786" s="67" t="s">
        <v>66</v>
      </c>
      <c r="L786" s="67" t="s">
        <v>67</v>
      </c>
      <c r="M786" s="73" t="s">
        <v>104</v>
      </c>
      <c r="N786" s="67" t="s">
        <v>5</v>
      </c>
      <c r="O786" s="59" t="s">
        <v>1128</v>
      </c>
      <c r="P786" s="59"/>
      <c r="Q786" s="59">
        <v>2025.0</v>
      </c>
      <c r="R786" s="76" t="s">
        <v>71</v>
      </c>
      <c r="S786" s="59"/>
      <c r="T786" s="59"/>
      <c r="U786" s="84" t="s">
        <v>2216</v>
      </c>
      <c r="V786" s="77" t="s">
        <v>2217</v>
      </c>
      <c r="W786" s="84" t="str">
        <f t="array" ref="W786">IFERROR(INDEX(DFD!$E$2:$E$1048791,MATCH($Q786,DFD!$B$2:$B$1048791,0)),"")</f>
        <v/>
      </c>
      <c r="X786" s="84" t="str">
        <f t="array" ref="X786">IFERROR(INDEX(DFD!$K$2:$K$1048791,MATCH($Q786,DFD!$B$2:$B$1048791,0)),"")</f>
        <v/>
      </c>
      <c r="Y786" s="84" t="str">
        <f t="array" ref="Y786">IFERROR(INDEX(DFD!$L$2:$L$1048790,MATCH($Q786,DFD!$B$2:$B$1048790,0)),"")</f>
        <v/>
      </c>
      <c r="Z786" s="84">
        <f t="shared" si="13"/>
        <v>45</v>
      </c>
      <c r="AA786" s="59"/>
      <c r="AB786" s="59" t="s">
        <v>1131</v>
      </c>
      <c r="AC786" s="59"/>
      <c r="AD786" s="85">
        <v>46043.0</v>
      </c>
      <c r="AE786" s="86">
        <f t="shared" si="8"/>
        <v>1</v>
      </c>
    </row>
    <row r="787" ht="15.75" customHeight="1">
      <c r="A787" s="87" t="s">
        <v>2219</v>
      </c>
      <c r="B787" s="87" t="s">
        <v>64</v>
      </c>
      <c r="C787" s="88" t="s">
        <v>2215</v>
      </c>
      <c r="D787" s="88" t="s">
        <v>51</v>
      </c>
      <c r="E787" s="88">
        <v>20.0</v>
      </c>
      <c r="F787" s="89">
        <v>32000.0</v>
      </c>
      <c r="G787" s="90" t="s">
        <v>53</v>
      </c>
      <c r="H787" s="91">
        <v>46235.0</v>
      </c>
      <c r="I787" s="92" t="s">
        <v>17</v>
      </c>
      <c r="J787" s="92" t="s">
        <v>54</v>
      </c>
      <c r="K787" s="92" t="s">
        <v>66</v>
      </c>
      <c r="L787" s="92" t="s">
        <v>67</v>
      </c>
      <c r="M787" s="90" t="s">
        <v>104</v>
      </c>
      <c r="N787" s="92" t="s">
        <v>5</v>
      </c>
      <c r="O787" s="92" t="s">
        <v>89</v>
      </c>
      <c r="P787" s="87"/>
      <c r="Q787" s="87" t="s">
        <v>2220</v>
      </c>
      <c r="R787" s="93" t="s">
        <v>71</v>
      </c>
      <c r="S787" s="87"/>
      <c r="T787" s="87"/>
      <c r="U787" s="94" t="str">
        <f t="array" ref="U787">IFERROR(INDEX(DFD!$D$2:$D$1048791,MATCH($Q787,DFD!$B$2:$B$1048791,0)),"")</f>
        <v/>
      </c>
      <c r="V787" s="94" t="s">
        <v>280</v>
      </c>
      <c r="W787" s="97" t="str">
        <f t="array" ref="W787">IFERROR(INDEX(DFD!$E$2:$E$1048791,MATCH($Q787,DFD!$B$2:$B$1048791,0)),"")</f>
        <v/>
      </c>
      <c r="X787" s="97" t="str">
        <f t="array" ref="X787">IFERROR(INDEX(DFD!$K$2:$K$1048791,MATCH($Q787,DFD!$B$2:$B$1048791,0)),"")</f>
        <v/>
      </c>
      <c r="Y787" s="97" t="str">
        <f t="array" ref="Y787">IFERROR(INDEX(DFD!$L$2:$L$1048790,MATCH($Q787,DFD!$B$2:$B$1048790,0)),"")</f>
        <v/>
      </c>
      <c r="Z787" s="97">
        <f t="shared" si="13"/>
        <v>45</v>
      </c>
      <c r="AA787" s="87"/>
      <c r="AB787" s="87" t="s">
        <v>78</v>
      </c>
      <c r="AC787" s="87"/>
      <c r="AD787" s="99">
        <v>46043.0</v>
      </c>
      <c r="AE787" s="100">
        <f t="shared" si="8"/>
        <v>1</v>
      </c>
    </row>
    <row r="788" ht="15.75" customHeight="1">
      <c r="A788" s="59" t="s">
        <v>2221</v>
      </c>
      <c r="B788" s="59" t="s">
        <v>107</v>
      </c>
      <c r="C788" s="60" t="s">
        <v>2215</v>
      </c>
      <c r="D788" s="60" t="s">
        <v>51</v>
      </c>
      <c r="E788" s="60">
        <v>10.0</v>
      </c>
      <c r="F788" s="72">
        <v>16000.0</v>
      </c>
      <c r="G788" s="73" t="s">
        <v>53</v>
      </c>
      <c r="H788" s="74">
        <v>46235.0</v>
      </c>
      <c r="I788" s="67" t="s">
        <v>17</v>
      </c>
      <c r="J788" s="67" t="s">
        <v>54</v>
      </c>
      <c r="K788" s="67" t="s">
        <v>66</v>
      </c>
      <c r="L788" s="67" t="s">
        <v>67</v>
      </c>
      <c r="M788" s="73" t="s">
        <v>104</v>
      </c>
      <c r="N788" s="67" t="s">
        <v>5</v>
      </c>
      <c r="O788" s="59" t="s">
        <v>69</v>
      </c>
      <c r="P788" s="59"/>
      <c r="Q788" s="59" t="s">
        <v>2220</v>
      </c>
      <c r="R788" s="76" t="s">
        <v>71</v>
      </c>
      <c r="S788" s="59"/>
      <c r="T788" s="59"/>
      <c r="U788" s="77" t="str">
        <f t="array" ref="U788">IFERROR(INDEX(DFD!$D$2:$D$1048791,MATCH($Q788,DFD!$B$2:$B$1048791,0)),"")</f>
        <v/>
      </c>
      <c r="V788" s="77" t="s">
        <v>280</v>
      </c>
      <c r="W788" s="84" t="str">
        <f t="array" ref="W788">IFERROR(INDEX(DFD!$E$2:$E$1048791,MATCH($Q788,DFD!$B$2:$B$1048791,0)),"")</f>
        <v/>
      </c>
      <c r="X788" s="84" t="str">
        <f t="array" ref="X788">IFERROR(INDEX(DFD!$K$2:$K$1048791,MATCH($Q788,DFD!$B$2:$B$1048791,0)),"")</f>
        <v/>
      </c>
      <c r="Y788" s="84" t="str">
        <f t="array" ref="Y788">IFERROR(INDEX(DFD!$L$2:$L$1048790,MATCH($Q788,DFD!$B$2:$B$1048790,0)),"")</f>
        <v/>
      </c>
      <c r="Z788" s="84">
        <f t="shared" si="13"/>
        <v>45</v>
      </c>
      <c r="AA788" s="59"/>
      <c r="AB788" s="59" t="s">
        <v>78</v>
      </c>
      <c r="AC788" s="59"/>
      <c r="AD788" s="85">
        <v>46043.0</v>
      </c>
      <c r="AE788" s="86">
        <f t="shared" si="8"/>
        <v>1</v>
      </c>
    </row>
    <row r="789" ht="15.75" customHeight="1">
      <c r="A789" s="87" t="s">
        <v>2222</v>
      </c>
      <c r="B789" s="87" t="s">
        <v>95</v>
      </c>
      <c r="C789" s="88" t="s">
        <v>2215</v>
      </c>
      <c r="D789" s="88" t="s">
        <v>51</v>
      </c>
      <c r="E789" s="88">
        <v>10.0</v>
      </c>
      <c r="F789" s="89">
        <v>16000.0</v>
      </c>
      <c r="G789" s="90" t="s">
        <v>53</v>
      </c>
      <c r="H789" s="91">
        <v>46235.0</v>
      </c>
      <c r="I789" s="92" t="s">
        <v>17</v>
      </c>
      <c r="J789" s="92" t="s">
        <v>54</v>
      </c>
      <c r="K789" s="92" t="s">
        <v>66</v>
      </c>
      <c r="L789" s="92" t="s">
        <v>67</v>
      </c>
      <c r="M789" s="90" t="s">
        <v>104</v>
      </c>
      <c r="N789" s="92" t="s">
        <v>5</v>
      </c>
      <c r="O789" s="87" t="s">
        <v>69</v>
      </c>
      <c r="P789" s="87"/>
      <c r="Q789" s="87" t="s">
        <v>2220</v>
      </c>
      <c r="R789" s="93" t="s">
        <v>71</v>
      </c>
      <c r="S789" s="87"/>
      <c r="T789" s="87"/>
      <c r="U789" s="94" t="str">
        <f t="array" ref="U789">IFERROR(INDEX(DFD!$D$2:$D$1048791,MATCH($Q789,DFD!$B$2:$B$1048791,0)),"")</f>
        <v/>
      </c>
      <c r="V789" s="94" t="s">
        <v>280</v>
      </c>
      <c r="W789" s="97" t="str">
        <f t="array" ref="W789">IFERROR(INDEX(DFD!$E$2:$E$1048791,MATCH($Q789,DFD!$B$2:$B$1048791,0)),"")</f>
        <v/>
      </c>
      <c r="X789" s="97" t="str">
        <f t="array" ref="X789">IFERROR(INDEX(DFD!$K$2:$K$1048791,MATCH($Q789,DFD!$B$2:$B$1048791,0)),"")</f>
        <v/>
      </c>
      <c r="Y789" s="97" t="str">
        <f t="array" ref="Y789">IFERROR(INDEX(DFD!$L$2:$L$1048790,MATCH($Q789,DFD!$B$2:$B$1048790,0)),"")</f>
        <v/>
      </c>
      <c r="Z789" s="97">
        <f t="shared" si="13"/>
        <v>45</v>
      </c>
      <c r="AA789" s="87"/>
      <c r="AB789" s="87" t="s">
        <v>78</v>
      </c>
      <c r="AC789" s="87"/>
      <c r="AD789" s="99">
        <v>46043.0</v>
      </c>
      <c r="AE789" s="100">
        <f t="shared" si="8"/>
        <v>1</v>
      </c>
    </row>
    <row r="790" ht="15.75" customHeight="1">
      <c r="A790" s="59" t="s">
        <v>2223</v>
      </c>
      <c r="B790" s="59" t="s">
        <v>101</v>
      </c>
      <c r="C790" s="60" t="s">
        <v>2215</v>
      </c>
      <c r="D790" s="60" t="s">
        <v>51</v>
      </c>
      <c r="E790" s="60">
        <v>10.0</v>
      </c>
      <c r="F790" s="72">
        <v>16000.0</v>
      </c>
      <c r="G790" s="73" t="s">
        <v>53</v>
      </c>
      <c r="H790" s="74">
        <v>46235.0</v>
      </c>
      <c r="I790" s="67" t="s">
        <v>17</v>
      </c>
      <c r="J790" s="67" t="s">
        <v>54</v>
      </c>
      <c r="K790" s="67" t="s">
        <v>66</v>
      </c>
      <c r="L790" s="67" t="s">
        <v>197</v>
      </c>
      <c r="M790" s="73" t="s">
        <v>104</v>
      </c>
      <c r="N790" s="67" t="s">
        <v>58</v>
      </c>
      <c r="O790" s="67" t="s">
        <v>89</v>
      </c>
      <c r="P790" s="59"/>
      <c r="Q790" s="59" t="s">
        <v>2220</v>
      </c>
      <c r="R790" s="76" t="s">
        <v>71</v>
      </c>
      <c r="S790" s="59"/>
      <c r="T790" s="59"/>
      <c r="U790" s="77" t="str">
        <f t="array" ref="U790">IFERROR(INDEX(DFD!$D$2:$D$1048791,MATCH($Q790,DFD!$B$2:$B$1048791,0)),"")</f>
        <v/>
      </c>
      <c r="V790" s="77" t="s">
        <v>280</v>
      </c>
      <c r="W790" s="84" t="str">
        <f t="array" ref="W790">IFERROR(INDEX(DFD!$E$2:$E$1048791,MATCH($Q790,DFD!$B$2:$B$1048791,0)),"")</f>
        <v/>
      </c>
      <c r="X790" s="84" t="str">
        <f t="array" ref="X790">IFERROR(INDEX(DFD!$K$2:$K$1048791,MATCH($Q790,DFD!$B$2:$B$1048791,0)),"")</f>
        <v/>
      </c>
      <c r="Y790" s="84" t="str">
        <f t="array" ref="Y790">IFERROR(INDEX(DFD!$L$2:$L$1048790,MATCH($Q790,DFD!$B$2:$B$1048790,0)),"")</f>
        <v/>
      </c>
      <c r="Z790" s="84">
        <f t="shared" si="13"/>
        <v>45</v>
      </c>
      <c r="AA790" s="59"/>
      <c r="AB790" s="59" t="s">
        <v>78</v>
      </c>
      <c r="AC790" s="59"/>
      <c r="AD790" s="85">
        <v>46043.0</v>
      </c>
      <c r="AE790" s="86">
        <f t="shared" si="8"/>
        <v>1</v>
      </c>
    </row>
    <row r="791" ht="15.75" customHeight="1">
      <c r="A791" s="87" t="s">
        <v>2224</v>
      </c>
      <c r="B791" s="87" t="s">
        <v>95</v>
      </c>
      <c r="C791" s="88" t="s">
        <v>2225</v>
      </c>
      <c r="D791" s="88" t="s">
        <v>51</v>
      </c>
      <c r="E791" s="88">
        <v>10.0</v>
      </c>
      <c r="F791" s="89">
        <v>740.0</v>
      </c>
      <c r="G791" s="90" t="s">
        <v>53</v>
      </c>
      <c r="H791" s="91">
        <v>46174.0</v>
      </c>
      <c r="I791" s="92" t="s">
        <v>17</v>
      </c>
      <c r="J791" s="92" t="s">
        <v>54</v>
      </c>
      <c r="K791" s="92" t="s">
        <v>66</v>
      </c>
      <c r="L791" s="92" t="s">
        <v>67</v>
      </c>
      <c r="M791" s="90" t="s">
        <v>68</v>
      </c>
      <c r="N791" s="92" t="s">
        <v>5</v>
      </c>
      <c r="O791" s="87" t="s">
        <v>69</v>
      </c>
      <c r="P791" s="87"/>
      <c r="Q791" s="87" t="s">
        <v>672</v>
      </c>
      <c r="R791" s="93" t="s">
        <v>269</v>
      </c>
      <c r="S791" s="87"/>
      <c r="T791" s="87"/>
      <c r="U791" s="94" t="str">
        <f t="array" ref="U791">IFERROR(INDEX(DFD!$D$2:$D$1048791,MATCH($Q791,DFD!$B$2:$B$1048791,0)),"")</f>
        <v/>
      </c>
      <c r="V791" s="94" t="str">
        <f t="array" ref="V791">IFERROR(INDEX(DFD!$F$2:$F$1048791,MATCH($Q791,DFD!$B$2:$B$1048791,0)),"")</f>
        <v/>
      </c>
      <c r="W791" s="97" t="str">
        <f t="array" ref="W791">IFERROR(INDEX(DFD!$E$2:$E$1048791,MATCH($Q791,DFD!$B$2:$B$1048791,0)),"")</f>
        <v/>
      </c>
      <c r="X791" s="97" t="str">
        <f t="array" ref="X791">IFERROR(INDEX(DFD!$K$2:$K$1048791,MATCH($Q791,DFD!$B$2:$B$1048791,0)),"")</f>
        <v/>
      </c>
      <c r="Y791" s="97" t="str">
        <f t="array" ref="Y791">IFERROR(INDEX(DFD!$L$2:$L$1048790,MATCH($Q791,DFD!$B$2:$B$1048790,0)),"")</f>
        <v/>
      </c>
      <c r="Z791" s="97">
        <f t="shared" si="13"/>
        <v>45</v>
      </c>
      <c r="AA791" s="87"/>
      <c r="AB791" s="87" t="s">
        <v>78</v>
      </c>
      <c r="AC791" s="87"/>
      <c r="AD791" s="99">
        <v>46043.0</v>
      </c>
      <c r="AE791" s="100">
        <f t="shared" si="8"/>
        <v>1</v>
      </c>
    </row>
    <row r="792" ht="15.75" customHeight="1">
      <c r="A792" s="59" t="s">
        <v>2226</v>
      </c>
      <c r="B792" s="59" t="s">
        <v>101</v>
      </c>
      <c r="C792" s="60" t="s">
        <v>2227</v>
      </c>
      <c r="D792" s="60" t="s">
        <v>51</v>
      </c>
      <c r="E792" s="60">
        <v>20.0</v>
      </c>
      <c r="F792" s="72">
        <v>24000.0</v>
      </c>
      <c r="G792" s="73" t="s">
        <v>53</v>
      </c>
      <c r="H792" s="74">
        <v>46235.0</v>
      </c>
      <c r="I792" s="67" t="s">
        <v>17</v>
      </c>
      <c r="J792" s="67" t="s">
        <v>54</v>
      </c>
      <c r="K792" s="67" t="s">
        <v>66</v>
      </c>
      <c r="L792" s="67" t="s">
        <v>67</v>
      </c>
      <c r="M792" s="73" t="s">
        <v>104</v>
      </c>
      <c r="N792" s="67" t="s">
        <v>58</v>
      </c>
      <c r="O792" s="59" t="s">
        <v>69</v>
      </c>
      <c r="P792" s="59"/>
      <c r="Q792" s="59" t="s">
        <v>2211</v>
      </c>
      <c r="R792" s="76" t="s">
        <v>71</v>
      </c>
      <c r="S792" s="59"/>
      <c r="T792" s="59"/>
      <c r="U792" s="77" t="str">
        <f t="array" ref="U792">IFERROR(INDEX(DFD!$D$2:$D$1048791,MATCH($Q792,DFD!$B$2:$B$1048791,0)),"")</f>
        <v/>
      </c>
      <c r="V792" s="77" t="str">
        <f t="array" ref="V792">IFERROR(INDEX(DFD!$F$2:$F$1048791,MATCH($Q792,DFD!$B$2:$B$1048791,0)),"")</f>
        <v/>
      </c>
      <c r="W792" s="84" t="str">
        <f t="array" ref="W792">IFERROR(INDEX(DFD!$E$2:$E$1048791,MATCH($Q792,DFD!$B$2:$B$1048791,0)),"")</f>
        <v/>
      </c>
      <c r="X792" s="84" t="str">
        <f t="array" ref="X792">IFERROR(INDEX(DFD!$K$2:$K$1048791,MATCH($Q792,DFD!$B$2:$B$1048791,0)),"")</f>
        <v/>
      </c>
      <c r="Y792" s="84" t="str">
        <f t="array" ref="Y792">IFERROR(INDEX(DFD!$L$2:$L$1048790,MATCH($Q792,DFD!$B$2:$B$1048790,0)),"")</f>
        <v/>
      </c>
      <c r="Z792" s="84">
        <f t="shared" si="13"/>
        <v>45</v>
      </c>
      <c r="AA792" s="59"/>
      <c r="AB792" s="59" t="s">
        <v>78</v>
      </c>
      <c r="AC792" s="59"/>
      <c r="AD792" s="85">
        <v>46043.0</v>
      </c>
      <c r="AE792" s="86">
        <f t="shared" si="8"/>
        <v>1</v>
      </c>
    </row>
    <row r="793" ht="15.75" customHeight="1">
      <c r="A793" s="87" t="s">
        <v>2228</v>
      </c>
      <c r="B793" s="87" t="s">
        <v>92</v>
      </c>
      <c r="C793" s="88" t="s">
        <v>2227</v>
      </c>
      <c r="D793" s="88" t="s">
        <v>51</v>
      </c>
      <c r="E793" s="88">
        <v>4.0</v>
      </c>
      <c r="F793" s="89">
        <v>4800.0</v>
      </c>
      <c r="G793" s="90" t="s">
        <v>53</v>
      </c>
      <c r="H793" s="91">
        <v>46204.0</v>
      </c>
      <c r="I793" s="92" t="s">
        <v>17</v>
      </c>
      <c r="J793" s="92" t="s">
        <v>54</v>
      </c>
      <c r="K793" s="92" t="s">
        <v>66</v>
      </c>
      <c r="L793" s="92" t="s">
        <v>67</v>
      </c>
      <c r="M793" s="90" t="s">
        <v>167</v>
      </c>
      <c r="N793" s="92" t="s">
        <v>58</v>
      </c>
      <c r="O793" s="92" t="s">
        <v>89</v>
      </c>
      <c r="P793" s="87"/>
      <c r="Q793" s="87" t="s">
        <v>2211</v>
      </c>
      <c r="R793" s="93" t="s">
        <v>71</v>
      </c>
      <c r="S793" s="87"/>
      <c r="T793" s="87"/>
      <c r="U793" s="94" t="str">
        <f t="array" ref="U793">IFERROR(INDEX(DFD!$D$2:$D$1048791,MATCH($Q793,DFD!$B$2:$B$1048791,0)),"")</f>
        <v/>
      </c>
      <c r="V793" s="94" t="str">
        <f t="array" ref="V793">IFERROR(INDEX(DFD!$F$2:$F$1048791,MATCH($Q793,DFD!$B$2:$B$1048791,0)),"")</f>
        <v/>
      </c>
      <c r="W793" s="97" t="str">
        <f t="array" ref="W793">IFERROR(INDEX(DFD!$E$2:$E$1048791,MATCH($Q793,DFD!$B$2:$B$1048791,0)),"")</f>
        <v/>
      </c>
      <c r="X793" s="97" t="str">
        <f t="array" ref="X793">IFERROR(INDEX(DFD!$K$2:$K$1048791,MATCH($Q793,DFD!$B$2:$B$1048791,0)),"")</f>
        <v/>
      </c>
      <c r="Y793" s="97" t="str">
        <f t="array" ref="Y793">IFERROR(INDEX(DFD!$L$2:$L$1048790,MATCH($Q793,DFD!$B$2:$B$1048790,0)),"")</f>
        <v/>
      </c>
      <c r="Z793" s="97">
        <f t="shared" si="13"/>
        <v>45</v>
      </c>
      <c r="AA793" s="87"/>
      <c r="AB793" s="87" t="s">
        <v>78</v>
      </c>
      <c r="AC793" s="87"/>
      <c r="AD793" s="99">
        <v>46043.0</v>
      </c>
      <c r="AE793" s="100">
        <f t="shared" si="8"/>
        <v>1</v>
      </c>
    </row>
    <row r="794" ht="15.75" customHeight="1">
      <c r="A794" s="59" t="s">
        <v>2229</v>
      </c>
      <c r="B794" s="59" t="s">
        <v>80</v>
      </c>
      <c r="C794" s="60" t="s">
        <v>2227</v>
      </c>
      <c r="D794" s="60" t="s">
        <v>51</v>
      </c>
      <c r="E794" s="60">
        <v>3.0</v>
      </c>
      <c r="F794" s="72">
        <v>3600.0</v>
      </c>
      <c r="G794" s="73" t="s">
        <v>53</v>
      </c>
      <c r="H794" s="74">
        <v>46174.0</v>
      </c>
      <c r="I794" s="67" t="s">
        <v>17</v>
      </c>
      <c r="J794" s="67" t="s">
        <v>54</v>
      </c>
      <c r="K794" s="67" t="s">
        <v>66</v>
      </c>
      <c r="L794" s="67" t="s">
        <v>67</v>
      </c>
      <c r="M794" s="73" t="s">
        <v>167</v>
      </c>
      <c r="N794" s="67" t="s">
        <v>58</v>
      </c>
      <c r="O794" s="59" t="s">
        <v>69</v>
      </c>
      <c r="P794" s="59"/>
      <c r="Q794" s="59" t="s">
        <v>2211</v>
      </c>
      <c r="R794" s="76" t="s">
        <v>71</v>
      </c>
      <c r="S794" s="59"/>
      <c r="T794" s="59"/>
      <c r="U794" s="77" t="str">
        <f t="array" ref="U794">IFERROR(INDEX(DFD!$D$2:$D$1048791,MATCH($Q794,DFD!$B$2:$B$1048791,0)),"")</f>
        <v/>
      </c>
      <c r="V794" s="77" t="str">
        <f t="array" ref="V794">IFERROR(INDEX(DFD!$F$2:$F$1048791,MATCH($Q794,DFD!$B$2:$B$1048791,0)),"")</f>
        <v/>
      </c>
      <c r="W794" s="84" t="str">
        <f t="array" ref="W794">IFERROR(INDEX(DFD!$E$2:$E$1048791,MATCH($Q794,DFD!$B$2:$B$1048791,0)),"")</f>
        <v/>
      </c>
      <c r="X794" s="84" t="str">
        <f t="array" ref="X794">IFERROR(INDEX(DFD!$K$2:$K$1048791,MATCH($Q794,DFD!$B$2:$B$1048791,0)),"")</f>
        <v/>
      </c>
      <c r="Y794" s="84" t="str">
        <f t="array" ref="Y794">IFERROR(INDEX(DFD!$L$2:$L$1048790,MATCH($Q794,DFD!$B$2:$B$1048790,0)),"")</f>
        <v/>
      </c>
      <c r="Z794" s="84">
        <f t="shared" si="13"/>
        <v>45</v>
      </c>
      <c r="AA794" s="59"/>
      <c r="AB794" s="59" t="s">
        <v>78</v>
      </c>
      <c r="AC794" s="59"/>
      <c r="AD794" s="85">
        <v>46043.0</v>
      </c>
      <c r="AE794" s="86">
        <f t="shared" si="8"/>
        <v>1</v>
      </c>
    </row>
    <row r="795" ht="15.75" customHeight="1">
      <c r="A795" s="87" t="s">
        <v>2230</v>
      </c>
      <c r="B795" s="87" t="s">
        <v>95</v>
      </c>
      <c r="C795" s="88" t="s">
        <v>2227</v>
      </c>
      <c r="D795" s="88" t="s">
        <v>51</v>
      </c>
      <c r="E795" s="88">
        <v>3.0</v>
      </c>
      <c r="F795" s="89">
        <v>3600.0</v>
      </c>
      <c r="G795" s="90" t="s">
        <v>53</v>
      </c>
      <c r="H795" s="91">
        <v>46174.0</v>
      </c>
      <c r="I795" s="92" t="s">
        <v>17</v>
      </c>
      <c r="J795" s="92" t="s">
        <v>54</v>
      </c>
      <c r="K795" s="92" t="s">
        <v>66</v>
      </c>
      <c r="L795" s="92" t="s">
        <v>67</v>
      </c>
      <c r="M795" s="90" t="s">
        <v>167</v>
      </c>
      <c r="N795" s="92" t="s">
        <v>58</v>
      </c>
      <c r="O795" s="87" t="s">
        <v>69</v>
      </c>
      <c r="P795" s="87"/>
      <c r="Q795" s="87" t="s">
        <v>2211</v>
      </c>
      <c r="R795" s="93" t="s">
        <v>71</v>
      </c>
      <c r="S795" s="87"/>
      <c r="T795" s="87"/>
      <c r="U795" s="94" t="str">
        <f t="array" ref="U795">IFERROR(INDEX(DFD!$D$2:$D$1048791,MATCH($Q795,DFD!$B$2:$B$1048791,0)),"")</f>
        <v/>
      </c>
      <c r="V795" s="94" t="str">
        <f t="array" ref="V795">IFERROR(INDEX(DFD!$F$2:$F$1048791,MATCH($Q795,DFD!$B$2:$B$1048791,0)),"")</f>
        <v/>
      </c>
      <c r="W795" s="97" t="str">
        <f t="array" ref="W795">IFERROR(INDEX(DFD!$E$2:$E$1048791,MATCH($Q795,DFD!$B$2:$B$1048791,0)),"")</f>
        <v/>
      </c>
      <c r="X795" s="97" t="str">
        <f t="array" ref="X795">IFERROR(INDEX(DFD!$K$2:$K$1048791,MATCH($Q795,DFD!$B$2:$B$1048791,0)),"")</f>
        <v/>
      </c>
      <c r="Y795" s="97" t="str">
        <f t="array" ref="Y795">IFERROR(INDEX(DFD!$L$2:$L$1048790,MATCH($Q795,DFD!$B$2:$B$1048790,0)),"")</f>
        <v/>
      </c>
      <c r="Z795" s="97">
        <f t="shared" si="13"/>
        <v>45</v>
      </c>
      <c r="AA795" s="87"/>
      <c r="AB795" s="87" t="s">
        <v>78</v>
      </c>
      <c r="AC795" s="87"/>
      <c r="AD795" s="99">
        <v>46043.0</v>
      </c>
      <c r="AE795" s="100">
        <f t="shared" si="8"/>
        <v>1</v>
      </c>
    </row>
    <row r="796" ht="15.75" customHeight="1">
      <c r="A796" s="67" t="s">
        <v>2231</v>
      </c>
      <c r="B796" s="59" t="s">
        <v>184</v>
      </c>
      <c r="C796" s="60" t="s">
        <v>922</v>
      </c>
      <c r="D796" s="60" t="s">
        <v>51</v>
      </c>
      <c r="E796" s="60">
        <v>50.0</v>
      </c>
      <c r="F796" s="72">
        <v>11100.0</v>
      </c>
      <c r="G796" s="73" t="s">
        <v>53</v>
      </c>
      <c r="H796" s="74">
        <v>46235.0</v>
      </c>
      <c r="I796" s="67" t="s">
        <v>17</v>
      </c>
      <c r="J796" s="67" t="s">
        <v>54</v>
      </c>
      <c r="K796" s="67" t="s">
        <v>66</v>
      </c>
      <c r="L796" s="67" t="s">
        <v>67</v>
      </c>
      <c r="M796" s="73" t="s">
        <v>167</v>
      </c>
      <c r="N796" s="67" t="s">
        <v>20</v>
      </c>
      <c r="O796" s="67" t="s">
        <v>89</v>
      </c>
      <c r="P796" s="59"/>
      <c r="Q796" s="59" t="s">
        <v>672</v>
      </c>
      <c r="R796" s="76" t="s">
        <v>269</v>
      </c>
      <c r="S796" s="59"/>
      <c r="T796" s="59"/>
      <c r="U796" s="77" t="str">
        <f t="array" ref="U796">IFERROR(INDEX(DFD!$D$2:$D$1048791,MATCH($Q796,DFD!$B$2:$B$1048791,0)),"")</f>
        <v/>
      </c>
      <c r="V796" s="77" t="str">
        <f t="array" ref="V796">IFERROR(INDEX(DFD!$F$2:$F$1048791,MATCH($Q796,DFD!$B$2:$B$1048791,0)),"")</f>
        <v/>
      </c>
      <c r="W796" s="84" t="str">
        <f t="array" ref="W796">IFERROR(INDEX(DFD!$E$2:$E$1048791,MATCH($Q796,DFD!$B$2:$B$1048791,0)),"")</f>
        <v/>
      </c>
      <c r="X796" s="84" t="str">
        <f t="array" ref="X796">IFERROR(INDEX(DFD!$K$2:$K$1048791,MATCH($Q796,DFD!$B$2:$B$1048791,0)),"")</f>
        <v/>
      </c>
      <c r="Y796" s="84" t="str">
        <f t="array" ref="Y796">IFERROR(INDEX(DFD!$L$2:$L$1048790,MATCH($Q796,DFD!$B$2:$B$1048790,0)),"")</f>
        <v/>
      </c>
      <c r="Z796" s="84">
        <f t="shared" si="13"/>
        <v>45</v>
      </c>
      <c r="AA796" s="59"/>
      <c r="AB796" s="59" t="s">
        <v>78</v>
      </c>
      <c r="AC796" s="59"/>
      <c r="AD796" s="85">
        <v>46043.0</v>
      </c>
      <c r="AE796" s="86">
        <f t="shared" si="8"/>
        <v>1</v>
      </c>
    </row>
    <row r="797" ht="15.75" customHeight="1">
      <c r="A797" s="87" t="s">
        <v>2232</v>
      </c>
      <c r="B797" s="87" t="s">
        <v>80</v>
      </c>
      <c r="C797" s="88" t="s">
        <v>922</v>
      </c>
      <c r="D797" s="88" t="s">
        <v>51</v>
      </c>
      <c r="E797" s="88">
        <v>2.0</v>
      </c>
      <c r="F797" s="89">
        <v>444.0</v>
      </c>
      <c r="G797" s="90" t="s">
        <v>53</v>
      </c>
      <c r="H797" s="91">
        <v>46174.0</v>
      </c>
      <c r="I797" s="92" t="s">
        <v>17</v>
      </c>
      <c r="J797" s="92" t="s">
        <v>54</v>
      </c>
      <c r="K797" s="92" t="s">
        <v>66</v>
      </c>
      <c r="L797" s="92" t="s">
        <v>67</v>
      </c>
      <c r="M797" s="90" t="s">
        <v>167</v>
      </c>
      <c r="N797" s="92" t="s">
        <v>5</v>
      </c>
      <c r="O797" s="87" t="s">
        <v>69</v>
      </c>
      <c r="P797" s="87"/>
      <c r="Q797" s="87" t="s">
        <v>672</v>
      </c>
      <c r="R797" s="93" t="s">
        <v>269</v>
      </c>
      <c r="S797" s="87"/>
      <c r="T797" s="87"/>
      <c r="U797" s="94" t="str">
        <f t="array" ref="U797">IFERROR(INDEX(DFD!$D$2:$D$1048791,MATCH($Q797,DFD!$B$2:$B$1048791,0)),"")</f>
        <v/>
      </c>
      <c r="V797" s="94" t="str">
        <f t="array" ref="V797">IFERROR(INDEX(DFD!$F$2:$F$1048791,MATCH($Q797,DFD!$B$2:$B$1048791,0)),"")</f>
        <v/>
      </c>
      <c r="W797" s="97" t="str">
        <f t="array" ref="W797">IFERROR(INDEX(DFD!$E$2:$E$1048791,MATCH($Q797,DFD!$B$2:$B$1048791,0)),"")</f>
        <v/>
      </c>
      <c r="X797" s="97" t="str">
        <f t="array" ref="X797">IFERROR(INDEX(DFD!$K$2:$K$1048791,MATCH($Q797,DFD!$B$2:$B$1048791,0)),"")</f>
        <v/>
      </c>
      <c r="Y797" s="97" t="str">
        <f t="array" ref="Y797">IFERROR(INDEX(DFD!$L$2:$L$1048790,MATCH($Q797,DFD!$B$2:$B$1048790,0)),"")</f>
        <v/>
      </c>
      <c r="Z797" s="97">
        <f t="shared" si="13"/>
        <v>45</v>
      </c>
      <c r="AA797" s="87"/>
      <c r="AB797" s="87" t="s">
        <v>78</v>
      </c>
      <c r="AC797" s="87"/>
      <c r="AD797" s="99">
        <v>46043.0</v>
      </c>
      <c r="AE797" s="100">
        <f t="shared" si="8"/>
        <v>1</v>
      </c>
    </row>
    <row r="798" ht="15.75" customHeight="1">
      <c r="A798" s="59" t="s">
        <v>2233</v>
      </c>
      <c r="B798" s="59" t="s">
        <v>80</v>
      </c>
      <c r="C798" s="60" t="s">
        <v>2234</v>
      </c>
      <c r="D798" s="60" t="s">
        <v>51</v>
      </c>
      <c r="E798" s="60">
        <v>2.0</v>
      </c>
      <c r="F798" s="72">
        <v>260.0</v>
      </c>
      <c r="G798" s="73" t="s">
        <v>53</v>
      </c>
      <c r="H798" s="74">
        <v>46143.0</v>
      </c>
      <c r="I798" s="67" t="s">
        <v>17</v>
      </c>
      <c r="J798" s="67" t="s">
        <v>54</v>
      </c>
      <c r="K798" s="67" t="s">
        <v>66</v>
      </c>
      <c r="L798" s="67" t="s">
        <v>67</v>
      </c>
      <c r="M798" s="73" t="s">
        <v>117</v>
      </c>
      <c r="N798" s="67" t="s">
        <v>5</v>
      </c>
      <c r="O798" s="59" t="s">
        <v>69</v>
      </c>
      <c r="P798" s="59"/>
      <c r="Q798" s="59" t="s">
        <v>326</v>
      </c>
      <c r="R798" s="76" t="s">
        <v>71</v>
      </c>
      <c r="S798" s="59"/>
      <c r="T798" s="59"/>
      <c r="U798" s="77" t="str">
        <f t="array" ref="U798">IFERROR(INDEX(DFD!$D$2:$D$1048791,MATCH($Q798,DFD!$B$2:$B$1048791,0)),"")</f>
        <v/>
      </c>
      <c r="V798" s="77" t="s">
        <v>280</v>
      </c>
      <c r="W798" s="84" t="str">
        <f t="array" ref="W798">IFERROR(INDEX(DFD!$E$2:$E$1048791,MATCH($Q798,DFD!$B$2:$B$1048791,0)),"")</f>
        <v/>
      </c>
      <c r="X798" s="84" t="str">
        <f t="array" ref="X798">IFERROR(INDEX(DFD!$K$2:$K$1048791,MATCH($Q798,DFD!$B$2:$B$1048791,0)),"")</f>
        <v/>
      </c>
      <c r="Y798" s="84" t="str">
        <f t="array" ref="Y798">IFERROR(INDEX(DFD!$L$2:$L$1048790,MATCH($Q798,DFD!$B$2:$B$1048790,0)),"")</f>
        <v/>
      </c>
      <c r="Z798" s="84">
        <f t="shared" si="13"/>
        <v>45</v>
      </c>
      <c r="AA798" s="59"/>
      <c r="AB798" s="59" t="s">
        <v>78</v>
      </c>
      <c r="AC798" s="59"/>
      <c r="AD798" s="85">
        <v>46043.0</v>
      </c>
      <c r="AE798" s="86">
        <f t="shared" si="8"/>
        <v>1</v>
      </c>
    </row>
    <row r="799" ht="15.75" customHeight="1">
      <c r="A799" s="87" t="s">
        <v>2235</v>
      </c>
      <c r="B799" s="71" t="s">
        <v>92</v>
      </c>
      <c r="C799" s="88" t="s">
        <v>2234</v>
      </c>
      <c r="D799" s="88" t="s">
        <v>51</v>
      </c>
      <c r="E799" s="88">
        <v>2.0</v>
      </c>
      <c r="F799" s="89">
        <v>260.0</v>
      </c>
      <c r="G799" s="90" t="s">
        <v>53</v>
      </c>
      <c r="H799" s="91">
        <v>46143.0</v>
      </c>
      <c r="I799" s="92" t="s">
        <v>17</v>
      </c>
      <c r="J799" s="92" t="s">
        <v>54</v>
      </c>
      <c r="K799" s="92" t="s">
        <v>66</v>
      </c>
      <c r="L799" s="92" t="s">
        <v>67</v>
      </c>
      <c r="M799" s="90" t="s">
        <v>117</v>
      </c>
      <c r="N799" s="92" t="s">
        <v>5</v>
      </c>
      <c r="O799" s="92" t="s">
        <v>89</v>
      </c>
      <c r="P799" s="87"/>
      <c r="Q799" s="87" t="s">
        <v>326</v>
      </c>
      <c r="R799" s="93" t="s">
        <v>71</v>
      </c>
      <c r="S799" s="87"/>
      <c r="T799" s="87"/>
      <c r="U799" s="94" t="str">
        <f t="array" ref="U799">IFERROR(INDEX(DFD!$D$2:$D$1048791,MATCH($Q799,DFD!$B$2:$B$1048791,0)),"")</f>
        <v/>
      </c>
      <c r="V799" s="94" t="s">
        <v>280</v>
      </c>
      <c r="W799" s="97" t="str">
        <f t="array" ref="W799">IFERROR(INDEX(DFD!$E$2:$E$1048791,MATCH($Q799,DFD!$B$2:$B$1048791,0)),"")</f>
        <v/>
      </c>
      <c r="X799" s="97" t="str">
        <f t="array" ref="X799">IFERROR(INDEX(DFD!$K$2:$K$1048791,MATCH($Q799,DFD!$B$2:$B$1048791,0)),"")</f>
        <v/>
      </c>
      <c r="Y799" s="97" t="str">
        <f t="array" ref="Y799">IFERROR(INDEX(DFD!$L$2:$L$1048790,MATCH($Q799,DFD!$B$2:$B$1048790,0)),"")</f>
        <v/>
      </c>
      <c r="Z799" s="97">
        <f t="shared" si="13"/>
        <v>45</v>
      </c>
      <c r="AA799" s="87"/>
      <c r="AB799" s="87" t="s">
        <v>78</v>
      </c>
      <c r="AC799" s="87"/>
      <c r="AD799" s="99">
        <v>46043.0</v>
      </c>
      <c r="AE799" s="100">
        <f t="shared" si="8"/>
        <v>1</v>
      </c>
    </row>
    <row r="800" ht="15.75" customHeight="1">
      <c r="A800" s="67" t="s">
        <v>2236</v>
      </c>
      <c r="B800" s="59" t="s">
        <v>386</v>
      </c>
      <c r="C800" s="60" t="s">
        <v>2237</v>
      </c>
      <c r="D800" s="60" t="s">
        <v>51</v>
      </c>
      <c r="E800" s="60">
        <v>1.0</v>
      </c>
      <c r="F800" s="72">
        <v>1500.0</v>
      </c>
      <c r="G800" s="73" t="s">
        <v>53</v>
      </c>
      <c r="H800" s="74">
        <v>46174.0</v>
      </c>
      <c r="I800" s="67" t="s">
        <v>17</v>
      </c>
      <c r="J800" s="67" t="s">
        <v>54</v>
      </c>
      <c r="K800" s="67" t="s">
        <v>66</v>
      </c>
      <c r="L800" s="67" t="s">
        <v>67</v>
      </c>
      <c r="M800" s="73" t="s">
        <v>167</v>
      </c>
      <c r="N800" s="67" t="s">
        <v>20</v>
      </c>
      <c r="O800" s="59" t="s">
        <v>69</v>
      </c>
      <c r="P800" s="59"/>
      <c r="Q800" s="59" t="s">
        <v>835</v>
      </c>
      <c r="R800" s="76" t="s">
        <v>323</v>
      </c>
      <c r="S800" s="59"/>
      <c r="T800" s="59"/>
      <c r="U800" s="77" t="str">
        <f t="array" ref="U800">IFERROR(INDEX(DFD!$D$2:$D$1048791,MATCH($Q800,DFD!$B$2:$B$1048791,0)),"")</f>
        <v/>
      </c>
      <c r="V800" s="77" t="str">
        <f t="array" ref="V800">IFERROR(INDEX(DFD!$F$2:$F$1048791,MATCH($Q800,DFD!$B$2:$B$1048791,0)),"")</f>
        <v/>
      </c>
      <c r="W800" s="84" t="str">
        <f t="array" ref="W800">IFERROR(INDEX(DFD!$E$2:$E$1048791,MATCH($Q800,DFD!$B$2:$B$1048791,0)),"")</f>
        <v/>
      </c>
      <c r="X800" s="84" t="str">
        <f t="array" ref="X800">IFERROR(INDEX(DFD!$K$2:$K$1048791,MATCH($Q800,DFD!$B$2:$B$1048791,0)),"")</f>
        <v/>
      </c>
      <c r="Y800" s="84" t="str">
        <f t="array" ref="Y800">IFERROR(INDEX(DFD!$L$2:$L$1048790,MATCH($Q800,DFD!$B$2:$B$1048790,0)),"")</f>
        <v/>
      </c>
      <c r="Z800" s="84">
        <f t="shared" si="13"/>
        <v>45</v>
      </c>
      <c r="AA800" s="59"/>
      <c r="AB800" s="59" t="s">
        <v>78</v>
      </c>
      <c r="AC800" s="59"/>
      <c r="AD800" s="85">
        <v>46043.0</v>
      </c>
      <c r="AE800" s="86">
        <f t="shared" si="8"/>
        <v>1</v>
      </c>
    </row>
    <row r="801" ht="15.75" customHeight="1">
      <c r="A801" s="87" t="s">
        <v>2238</v>
      </c>
      <c r="B801" s="87" t="s">
        <v>101</v>
      </c>
      <c r="C801" s="88" t="s">
        <v>2239</v>
      </c>
      <c r="D801" s="88" t="s">
        <v>51</v>
      </c>
      <c r="E801" s="88">
        <v>2.0</v>
      </c>
      <c r="F801" s="89">
        <v>200.0</v>
      </c>
      <c r="G801" s="90" t="s">
        <v>53</v>
      </c>
      <c r="H801" s="91">
        <v>46143.0</v>
      </c>
      <c r="I801" s="92" t="s">
        <v>17</v>
      </c>
      <c r="J801" s="92" t="s">
        <v>54</v>
      </c>
      <c r="K801" s="92" t="s">
        <v>66</v>
      </c>
      <c r="L801" s="92" t="s">
        <v>56</v>
      </c>
      <c r="M801" s="90" t="s">
        <v>132</v>
      </c>
      <c r="N801" s="92" t="s">
        <v>5</v>
      </c>
      <c r="O801" s="87" t="s">
        <v>69</v>
      </c>
      <c r="P801" s="87"/>
      <c r="Q801" s="87" t="s">
        <v>2240</v>
      </c>
      <c r="R801" s="93" t="s">
        <v>373</v>
      </c>
      <c r="S801" s="87"/>
      <c r="T801" s="87"/>
      <c r="U801" s="94" t="str">
        <f t="array" ref="U801">IFERROR(INDEX(DFD!$D$2:$D$1048791,MATCH($Q801,DFD!$B$2:$B$1048791,0)),"")</f>
        <v/>
      </c>
      <c r="V801" s="94" t="str">
        <f t="array" ref="V801">IFERROR(INDEX(DFD!$F$2:$F$1048791,MATCH($Q801,DFD!$B$2:$B$1048791,0)),"")</f>
        <v/>
      </c>
      <c r="W801" s="97" t="str">
        <f t="array" ref="W801">IFERROR(INDEX(DFD!$E$2:$E$1048791,MATCH($Q801,DFD!$B$2:$B$1048791,0)),"")</f>
        <v/>
      </c>
      <c r="X801" s="97" t="str">
        <f t="array" ref="X801">IFERROR(INDEX(DFD!$K$2:$K$1048791,MATCH($Q801,DFD!$B$2:$B$1048791,0)),"")</f>
        <v/>
      </c>
      <c r="Y801" s="97" t="str">
        <f t="array" ref="Y801">IFERROR(INDEX(DFD!$L$2:$L$1048790,MATCH($Q801,DFD!$B$2:$B$1048790,0)),"")</f>
        <v/>
      </c>
      <c r="Z801" s="97">
        <f t="shared" si="13"/>
        <v>45</v>
      </c>
      <c r="AA801" s="87"/>
      <c r="AB801" s="87" t="s">
        <v>78</v>
      </c>
      <c r="AC801" s="87"/>
      <c r="AD801" s="99">
        <v>46043.0</v>
      </c>
      <c r="AE801" s="100">
        <f t="shared" si="8"/>
        <v>1</v>
      </c>
    </row>
    <row r="802" ht="15.75" customHeight="1">
      <c r="A802" s="59" t="s">
        <v>2241</v>
      </c>
      <c r="B802" s="59" t="s">
        <v>101</v>
      </c>
      <c r="C802" s="60" t="s">
        <v>2242</v>
      </c>
      <c r="D802" s="60" t="s">
        <v>51</v>
      </c>
      <c r="E802" s="60">
        <v>30.0</v>
      </c>
      <c r="F802" s="72">
        <v>1080.0</v>
      </c>
      <c r="G802" s="73" t="s">
        <v>53</v>
      </c>
      <c r="H802" s="74">
        <v>46174.0</v>
      </c>
      <c r="I802" s="67" t="s">
        <v>17</v>
      </c>
      <c r="J802" s="67" t="s">
        <v>54</v>
      </c>
      <c r="K802" s="67" t="s">
        <v>66</v>
      </c>
      <c r="L802" s="67" t="s">
        <v>56</v>
      </c>
      <c r="M802" s="73" t="s">
        <v>132</v>
      </c>
      <c r="N802" s="67" t="s">
        <v>58</v>
      </c>
      <c r="O802" s="67" t="s">
        <v>89</v>
      </c>
      <c r="P802" s="59"/>
      <c r="Q802" s="59" t="s">
        <v>124</v>
      </c>
      <c r="R802" s="76" t="s">
        <v>71</v>
      </c>
      <c r="S802" s="59"/>
      <c r="T802" s="59"/>
      <c r="U802" s="77" t="str">
        <f t="array" ref="U802">IFERROR(INDEX(DFD!$D$2:$D$1048791,MATCH($Q802,DFD!$B$2:$B$1048791,0)),"")</f>
        <v/>
      </c>
      <c r="V802" s="77" t="str">
        <f t="array" ref="V802">IFERROR(INDEX(DFD!$F$2:$F$1048791,MATCH($Q802,DFD!$B$2:$B$1048791,0)),"")</f>
        <v/>
      </c>
      <c r="W802" s="84" t="str">
        <f t="array" ref="W802">IFERROR(INDEX(DFD!$E$2:$E$1048791,MATCH($Q802,DFD!$B$2:$B$1048791,0)),"")</f>
        <v/>
      </c>
      <c r="X802" s="84" t="str">
        <f t="array" ref="X802">IFERROR(INDEX(DFD!$K$2:$K$1048791,MATCH($Q802,DFD!$B$2:$B$1048791,0)),"")</f>
        <v/>
      </c>
      <c r="Y802" s="84" t="str">
        <f t="array" ref="Y802">IFERROR(INDEX(DFD!$L$2:$L$1048790,MATCH($Q802,DFD!$B$2:$B$1048790,0)),"")</f>
        <v/>
      </c>
      <c r="Z802" s="84">
        <f t="shared" si="13"/>
        <v>45</v>
      </c>
      <c r="AA802" s="59"/>
      <c r="AB802" s="59" t="s">
        <v>78</v>
      </c>
      <c r="AC802" s="59"/>
      <c r="AD802" s="85">
        <v>46043.0</v>
      </c>
      <c r="AE802" s="86">
        <f t="shared" si="8"/>
        <v>1</v>
      </c>
    </row>
    <row r="803" ht="15.75" customHeight="1">
      <c r="A803" s="87" t="s">
        <v>2243</v>
      </c>
      <c r="B803" s="87" t="s">
        <v>101</v>
      </c>
      <c r="C803" s="88" t="s">
        <v>2244</v>
      </c>
      <c r="D803" s="88" t="s">
        <v>51</v>
      </c>
      <c r="E803" s="88">
        <v>50.0</v>
      </c>
      <c r="F803" s="89">
        <v>1800.0</v>
      </c>
      <c r="G803" s="90" t="s">
        <v>53</v>
      </c>
      <c r="H803" s="91">
        <v>46174.0</v>
      </c>
      <c r="I803" s="92" t="s">
        <v>17</v>
      </c>
      <c r="J803" s="92" t="s">
        <v>54</v>
      </c>
      <c r="K803" s="92" t="s">
        <v>17</v>
      </c>
      <c r="L803" s="92" t="s">
        <v>56</v>
      </c>
      <c r="M803" s="90" t="s">
        <v>104</v>
      </c>
      <c r="N803" s="92" t="s">
        <v>58</v>
      </c>
      <c r="O803" s="87" t="s">
        <v>69</v>
      </c>
      <c r="P803" s="87"/>
      <c r="Q803" s="87" t="s">
        <v>124</v>
      </c>
      <c r="R803" s="93" t="s">
        <v>71</v>
      </c>
      <c r="S803" s="87"/>
      <c r="T803" s="87"/>
      <c r="U803" s="94" t="str">
        <f t="array" ref="U803">IFERROR(INDEX(DFD!$D$2:$D$1048791,MATCH($Q803,DFD!$B$2:$B$1048791,0)),"")</f>
        <v/>
      </c>
      <c r="V803" s="94" t="str">
        <f t="array" ref="V803">IFERROR(INDEX(DFD!$F$2:$F$1048791,MATCH($Q803,DFD!$B$2:$B$1048791,0)),"")</f>
        <v/>
      </c>
      <c r="W803" s="97" t="str">
        <f t="array" ref="W803">IFERROR(INDEX(DFD!$E$2:$E$1048791,MATCH($Q803,DFD!$B$2:$B$1048791,0)),"")</f>
        <v/>
      </c>
      <c r="X803" s="97" t="str">
        <f t="array" ref="X803">IFERROR(INDEX(DFD!$K$2:$K$1048791,MATCH($Q803,DFD!$B$2:$B$1048791,0)),"")</f>
        <v/>
      </c>
      <c r="Y803" s="97" t="str">
        <f t="array" ref="Y803">IFERROR(INDEX(DFD!$L$2:$L$1048790,MATCH($Q803,DFD!$B$2:$B$1048790,0)),"")</f>
        <v/>
      </c>
      <c r="Z803" s="97">
        <f t="shared" si="13"/>
        <v>45</v>
      </c>
      <c r="AA803" s="87"/>
      <c r="AB803" s="87" t="s">
        <v>78</v>
      </c>
      <c r="AC803" s="87"/>
      <c r="AD803" s="99">
        <v>46043.0</v>
      </c>
      <c r="AE803" s="100">
        <f t="shared" si="8"/>
        <v>1</v>
      </c>
    </row>
    <row r="804" ht="15.75" customHeight="1">
      <c r="A804" s="59" t="s">
        <v>2245</v>
      </c>
      <c r="B804" s="59" t="s">
        <v>101</v>
      </c>
      <c r="C804" s="60" t="s">
        <v>2246</v>
      </c>
      <c r="D804" s="60" t="s">
        <v>51</v>
      </c>
      <c r="E804" s="60">
        <v>70.0</v>
      </c>
      <c r="F804" s="72">
        <v>8400.0</v>
      </c>
      <c r="G804" s="73" t="s">
        <v>53</v>
      </c>
      <c r="H804" s="74">
        <v>46204.0</v>
      </c>
      <c r="I804" s="67" t="s">
        <v>17</v>
      </c>
      <c r="J804" s="67" t="s">
        <v>54</v>
      </c>
      <c r="K804" s="67" t="s">
        <v>66</v>
      </c>
      <c r="L804" s="67" t="s">
        <v>56</v>
      </c>
      <c r="M804" s="73" t="s">
        <v>68</v>
      </c>
      <c r="N804" s="67" t="s">
        <v>58</v>
      </c>
      <c r="O804" s="59" t="s">
        <v>69</v>
      </c>
      <c r="P804" s="59"/>
      <c r="Q804" s="59" t="s">
        <v>124</v>
      </c>
      <c r="R804" s="76" t="s">
        <v>71</v>
      </c>
      <c r="S804" s="59"/>
      <c r="T804" s="59"/>
      <c r="U804" s="77" t="str">
        <f t="array" ref="U804">IFERROR(INDEX(DFD!$D$2:$D$1048791,MATCH($Q804,DFD!$B$2:$B$1048791,0)),"")</f>
        <v/>
      </c>
      <c r="V804" s="77" t="str">
        <f t="array" ref="V804">IFERROR(INDEX(DFD!$F$2:$F$1048791,MATCH($Q804,DFD!$B$2:$B$1048791,0)),"")</f>
        <v/>
      </c>
      <c r="W804" s="84" t="str">
        <f t="array" ref="W804">IFERROR(INDEX(DFD!$E$2:$E$1048791,MATCH($Q804,DFD!$B$2:$B$1048791,0)),"")</f>
        <v/>
      </c>
      <c r="X804" s="84" t="str">
        <f t="array" ref="X804">IFERROR(INDEX(DFD!$K$2:$K$1048791,MATCH($Q804,DFD!$B$2:$B$1048791,0)),"")</f>
        <v/>
      </c>
      <c r="Y804" s="84" t="str">
        <f t="array" ref="Y804">IFERROR(INDEX(DFD!$L$2:$L$1048790,MATCH($Q804,DFD!$B$2:$B$1048790,0)),"")</f>
        <v/>
      </c>
      <c r="Z804" s="84">
        <f t="shared" si="13"/>
        <v>45</v>
      </c>
      <c r="AA804" s="59"/>
      <c r="AB804" s="59" t="s">
        <v>78</v>
      </c>
      <c r="AC804" s="59"/>
      <c r="AD804" s="85">
        <v>46043.0</v>
      </c>
      <c r="AE804" s="86">
        <f t="shared" si="8"/>
        <v>1</v>
      </c>
    </row>
    <row r="805" ht="15.75" customHeight="1">
      <c r="A805" s="87" t="s">
        <v>2247</v>
      </c>
      <c r="B805" s="87" t="s">
        <v>101</v>
      </c>
      <c r="C805" s="88" t="s">
        <v>2248</v>
      </c>
      <c r="D805" s="88" t="s">
        <v>51</v>
      </c>
      <c r="E805" s="88">
        <v>50.0</v>
      </c>
      <c r="F805" s="89">
        <v>5500.0</v>
      </c>
      <c r="G805" s="90" t="s">
        <v>53</v>
      </c>
      <c r="H805" s="91">
        <v>46204.0</v>
      </c>
      <c r="I805" s="92" t="s">
        <v>17</v>
      </c>
      <c r="J805" s="92" t="s">
        <v>54</v>
      </c>
      <c r="K805" s="92" t="s">
        <v>66</v>
      </c>
      <c r="L805" s="92" t="s">
        <v>56</v>
      </c>
      <c r="M805" s="90" t="s">
        <v>167</v>
      </c>
      <c r="N805" s="92" t="s">
        <v>58</v>
      </c>
      <c r="O805" s="92" t="s">
        <v>89</v>
      </c>
      <c r="P805" s="87"/>
      <c r="Q805" s="87" t="s">
        <v>124</v>
      </c>
      <c r="R805" s="93" t="s">
        <v>71</v>
      </c>
      <c r="S805" s="87"/>
      <c r="T805" s="87"/>
      <c r="U805" s="94" t="str">
        <f t="array" ref="U805">IFERROR(INDEX(DFD!$D$2:$D$1048791,MATCH($Q805,DFD!$B$2:$B$1048791,0)),"")</f>
        <v/>
      </c>
      <c r="V805" s="94" t="str">
        <f t="array" ref="V805">IFERROR(INDEX(DFD!$F$2:$F$1048791,MATCH($Q805,DFD!$B$2:$B$1048791,0)),"")</f>
        <v/>
      </c>
      <c r="W805" s="97" t="str">
        <f t="array" ref="W805">IFERROR(INDEX(DFD!$E$2:$E$1048791,MATCH($Q805,DFD!$B$2:$B$1048791,0)),"")</f>
        <v/>
      </c>
      <c r="X805" s="97" t="str">
        <f t="array" ref="X805">IFERROR(INDEX(DFD!$K$2:$K$1048791,MATCH($Q805,DFD!$B$2:$B$1048791,0)),"")</f>
        <v/>
      </c>
      <c r="Y805" s="97" t="str">
        <f t="array" ref="Y805">IFERROR(INDEX(DFD!$L$2:$L$1048790,MATCH($Q805,DFD!$B$2:$B$1048790,0)),"")</f>
        <v/>
      </c>
      <c r="Z805" s="97">
        <f t="shared" si="13"/>
        <v>45</v>
      </c>
      <c r="AA805" s="87"/>
      <c r="AB805" s="87" t="s">
        <v>78</v>
      </c>
      <c r="AC805" s="87"/>
      <c r="AD805" s="99">
        <v>46043.0</v>
      </c>
      <c r="AE805" s="100">
        <f t="shared" si="8"/>
        <v>1</v>
      </c>
    </row>
    <row r="806" ht="15.75" customHeight="1">
      <c r="A806" s="59" t="s">
        <v>2249</v>
      </c>
      <c r="B806" s="59" t="s">
        <v>92</v>
      </c>
      <c r="C806" s="60" t="s">
        <v>2248</v>
      </c>
      <c r="D806" s="60" t="s">
        <v>51</v>
      </c>
      <c r="E806" s="60">
        <v>20.0</v>
      </c>
      <c r="F806" s="72">
        <v>2200.0</v>
      </c>
      <c r="G806" s="73" t="s">
        <v>53</v>
      </c>
      <c r="H806" s="74">
        <v>46174.0</v>
      </c>
      <c r="I806" s="67" t="s">
        <v>17</v>
      </c>
      <c r="J806" s="67" t="s">
        <v>54</v>
      </c>
      <c r="K806" s="67" t="s">
        <v>66</v>
      </c>
      <c r="L806" s="67" t="s">
        <v>67</v>
      </c>
      <c r="M806" s="73" t="s">
        <v>132</v>
      </c>
      <c r="N806" s="67" t="s">
        <v>58</v>
      </c>
      <c r="O806" s="59" t="s">
        <v>69</v>
      </c>
      <c r="P806" s="59"/>
      <c r="Q806" s="59" t="s">
        <v>124</v>
      </c>
      <c r="R806" s="76" t="s">
        <v>71</v>
      </c>
      <c r="S806" s="59"/>
      <c r="T806" s="59"/>
      <c r="U806" s="77" t="str">
        <f t="array" ref="U806">IFERROR(INDEX(DFD!$D$2:$D$1048791,MATCH($Q806,DFD!$B$2:$B$1048791,0)),"")</f>
        <v/>
      </c>
      <c r="V806" s="77" t="str">
        <f t="array" ref="V806">IFERROR(INDEX(DFD!$F$2:$F$1048791,MATCH($Q806,DFD!$B$2:$B$1048791,0)),"")</f>
        <v/>
      </c>
      <c r="W806" s="84" t="str">
        <f t="array" ref="W806">IFERROR(INDEX(DFD!$E$2:$E$1048791,MATCH($Q806,DFD!$B$2:$B$1048791,0)),"")</f>
        <v/>
      </c>
      <c r="X806" s="84" t="str">
        <f t="array" ref="X806">IFERROR(INDEX(DFD!$K$2:$K$1048791,MATCH($Q806,DFD!$B$2:$B$1048791,0)),"")</f>
        <v/>
      </c>
      <c r="Y806" s="84" t="str">
        <f t="array" ref="Y806">IFERROR(INDEX(DFD!$L$2:$L$1048790,MATCH($Q806,DFD!$B$2:$B$1048790,0)),"")</f>
        <v/>
      </c>
      <c r="Z806" s="84">
        <f t="shared" si="13"/>
        <v>45</v>
      </c>
      <c r="AA806" s="59"/>
      <c r="AB806" s="59" t="s">
        <v>78</v>
      </c>
      <c r="AC806" s="59"/>
      <c r="AD806" s="85">
        <v>46043.0</v>
      </c>
      <c r="AE806" s="86">
        <f t="shared" si="8"/>
        <v>1</v>
      </c>
    </row>
    <row r="807" ht="15.75" customHeight="1">
      <c r="A807" s="87" t="s">
        <v>2250</v>
      </c>
      <c r="B807" s="87" t="s">
        <v>123</v>
      </c>
      <c r="C807" s="88" t="s">
        <v>2248</v>
      </c>
      <c r="D807" s="88" t="s">
        <v>51</v>
      </c>
      <c r="E807" s="88">
        <v>19.0</v>
      </c>
      <c r="F807" s="89">
        <v>2090.0</v>
      </c>
      <c r="G807" s="90" t="s">
        <v>53</v>
      </c>
      <c r="H807" s="91">
        <v>46174.0</v>
      </c>
      <c r="I807" s="92" t="s">
        <v>17</v>
      </c>
      <c r="J807" s="92" t="s">
        <v>54</v>
      </c>
      <c r="K807" s="92" t="s">
        <v>66</v>
      </c>
      <c r="L807" s="92" t="s">
        <v>67</v>
      </c>
      <c r="M807" s="90" t="s">
        <v>132</v>
      </c>
      <c r="N807" s="92" t="s">
        <v>58</v>
      </c>
      <c r="O807" s="87" t="s">
        <v>69</v>
      </c>
      <c r="P807" s="87"/>
      <c r="Q807" s="87" t="s">
        <v>124</v>
      </c>
      <c r="R807" s="93" t="s">
        <v>71</v>
      </c>
      <c r="S807" s="87"/>
      <c r="T807" s="87"/>
      <c r="U807" s="94" t="str">
        <f t="array" ref="U807">IFERROR(INDEX(DFD!$D$2:$D$1048791,MATCH($Q807,DFD!$B$2:$B$1048791,0)),"")</f>
        <v/>
      </c>
      <c r="V807" s="94" t="str">
        <f t="array" ref="V807">IFERROR(INDEX(DFD!$F$2:$F$1048791,MATCH($Q807,DFD!$B$2:$B$1048791,0)),"")</f>
        <v/>
      </c>
      <c r="W807" s="97" t="str">
        <f t="array" ref="W807">IFERROR(INDEX(DFD!$E$2:$E$1048791,MATCH($Q807,DFD!$B$2:$B$1048791,0)),"")</f>
        <v/>
      </c>
      <c r="X807" s="97" t="str">
        <f t="array" ref="X807">IFERROR(INDEX(DFD!$K$2:$K$1048791,MATCH($Q807,DFD!$B$2:$B$1048791,0)),"")</f>
        <v/>
      </c>
      <c r="Y807" s="97" t="str">
        <f t="array" ref="Y807">IFERROR(INDEX(DFD!$L$2:$L$1048790,MATCH($Q807,DFD!$B$2:$B$1048790,0)),"")</f>
        <v/>
      </c>
      <c r="Z807" s="97">
        <f t="shared" si="13"/>
        <v>45</v>
      </c>
      <c r="AA807" s="87"/>
      <c r="AB807" s="87" t="s">
        <v>78</v>
      </c>
      <c r="AC807" s="87"/>
      <c r="AD807" s="99">
        <v>46043.0</v>
      </c>
      <c r="AE807" s="100">
        <f t="shared" si="8"/>
        <v>1</v>
      </c>
    </row>
    <row r="808" ht="15.75" customHeight="1">
      <c r="A808" s="59" t="s">
        <v>2251</v>
      </c>
      <c r="B808" s="59" t="s">
        <v>101</v>
      </c>
      <c r="C808" s="60" t="s">
        <v>2252</v>
      </c>
      <c r="D808" s="60" t="s">
        <v>51</v>
      </c>
      <c r="E808" s="60">
        <v>50.0</v>
      </c>
      <c r="F808" s="72">
        <v>1500.0</v>
      </c>
      <c r="G808" s="73" t="s">
        <v>53</v>
      </c>
      <c r="H808" s="74">
        <v>46174.0</v>
      </c>
      <c r="I808" s="67" t="s">
        <v>17</v>
      </c>
      <c r="J808" s="67" t="s">
        <v>54</v>
      </c>
      <c r="K808" s="67" t="s">
        <v>66</v>
      </c>
      <c r="L808" s="67" t="s">
        <v>56</v>
      </c>
      <c r="M808" s="73" t="s">
        <v>132</v>
      </c>
      <c r="N808" s="67" t="s">
        <v>58</v>
      </c>
      <c r="O808" s="67" t="s">
        <v>89</v>
      </c>
      <c r="P808" s="59"/>
      <c r="Q808" s="59" t="s">
        <v>124</v>
      </c>
      <c r="R808" s="76" t="s">
        <v>71</v>
      </c>
      <c r="S808" s="59"/>
      <c r="T808" s="59"/>
      <c r="U808" s="77" t="str">
        <f t="array" ref="U808">IFERROR(INDEX(DFD!$D$2:$D$1048791,MATCH($Q808,DFD!$B$2:$B$1048791,0)),"")</f>
        <v/>
      </c>
      <c r="V808" s="77" t="str">
        <f t="array" ref="V808">IFERROR(INDEX(DFD!$F$2:$F$1048791,MATCH($Q808,DFD!$B$2:$B$1048791,0)),"")</f>
        <v/>
      </c>
      <c r="W808" s="84" t="str">
        <f t="array" ref="W808">IFERROR(INDEX(DFD!$E$2:$E$1048791,MATCH($Q808,DFD!$B$2:$B$1048791,0)),"")</f>
        <v/>
      </c>
      <c r="X808" s="84" t="str">
        <f t="array" ref="X808">IFERROR(INDEX(DFD!$K$2:$K$1048791,MATCH($Q808,DFD!$B$2:$B$1048791,0)),"")</f>
        <v/>
      </c>
      <c r="Y808" s="84" t="str">
        <f t="array" ref="Y808">IFERROR(INDEX(DFD!$L$2:$L$1048790,MATCH($Q808,DFD!$B$2:$B$1048790,0)),"")</f>
        <v/>
      </c>
      <c r="Z808" s="84">
        <f t="shared" si="13"/>
        <v>45</v>
      </c>
      <c r="AA808" s="59"/>
      <c r="AB808" s="59" t="s">
        <v>78</v>
      </c>
      <c r="AC808" s="59"/>
      <c r="AD808" s="85">
        <v>46043.0</v>
      </c>
      <c r="AE808" s="86">
        <f t="shared" si="8"/>
        <v>1</v>
      </c>
    </row>
    <row r="809" ht="15.75" customHeight="1">
      <c r="A809" s="92" t="s">
        <v>2253</v>
      </c>
      <c r="B809" s="87" t="s">
        <v>92</v>
      </c>
      <c r="C809" s="88" t="s">
        <v>2252</v>
      </c>
      <c r="D809" s="88" t="s">
        <v>51</v>
      </c>
      <c r="E809" s="88">
        <v>20.0</v>
      </c>
      <c r="F809" s="89">
        <v>600.0</v>
      </c>
      <c r="G809" s="90" t="s">
        <v>53</v>
      </c>
      <c r="H809" s="91">
        <v>46174.0</v>
      </c>
      <c r="I809" s="92" t="s">
        <v>17</v>
      </c>
      <c r="J809" s="92" t="s">
        <v>54</v>
      </c>
      <c r="K809" s="92" t="s">
        <v>66</v>
      </c>
      <c r="L809" s="92" t="s">
        <v>67</v>
      </c>
      <c r="M809" s="90" t="s">
        <v>68</v>
      </c>
      <c r="N809" s="92" t="s">
        <v>58</v>
      </c>
      <c r="O809" s="87" t="s">
        <v>69</v>
      </c>
      <c r="P809" s="87"/>
      <c r="Q809" s="87" t="s">
        <v>124</v>
      </c>
      <c r="R809" s="93" t="s">
        <v>71</v>
      </c>
      <c r="S809" s="87"/>
      <c r="T809" s="87"/>
      <c r="U809" s="94" t="str">
        <f t="array" ref="U809">IFERROR(INDEX(DFD!$D$2:$D$1048791,MATCH($Q809,DFD!$B$2:$B$1048791,0)),"")</f>
        <v/>
      </c>
      <c r="V809" s="94" t="str">
        <f t="array" ref="V809">IFERROR(INDEX(DFD!$F$2:$F$1048791,MATCH($Q809,DFD!$B$2:$B$1048791,0)),"")</f>
        <v/>
      </c>
      <c r="W809" s="97" t="str">
        <f t="array" ref="W809">IFERROR(INDEX(DFD!$E$2:$E$1048791,MATCH($Q809,DFD!$B$2:$B$1048791,0)),"")</f>
        <v/>
      </c>
      <c r="X809" s="97" t="str">
        <f t="array" ref="X809">IFERROR(INDEX(DFD!$K$2:$K$1048791,MATCH($Q809,DFD!$B$2:$B$1048791,0)),"")</f>
        <v/>
      </c>
      <c r="Y809" s="97" t="str">
        <f t="array" ref="Y809">IFERROR(INDEX(DFD!$L$2:$L$1048790,MATCH($Q809,DFD!$B$2:$B$1048790,0)),"")</f>
        <v/>
      </c>
      <c r="Z809" s="97">
        <f t="shared" si="13"/>
        <v>45</v>
      </c>
      <c r="AA809" s="87"/>
      <c r="AB809" s="87" t="s">
        <v>78</v>
      </c>
      <c r="AC809" s="87"/>
      <c r="AD809" s="99">
        <v>46043.0</v>
      </c>
      <c r="AE809" s="100">
        <f t="shared" si="8"/>
        <v>1</v>
      </c>
    </row>
    <row r="810" ht="15.75" customHeight="1">
      <c r="A810" s="59" t="s">
        <v>2254</v>
      </c>
      <c r="B810" s="59" t="s">
        <v>101</v>
      </c>
      <c r="C810" s="60" t="s">
        <v>2255</v>
      </c>
      <c r="D810" s="60" t="s">
        <v>51</v>
      </c>
      <c r="E810" s="60">
        <v>1.0</v>
      </c>
      <c r="F810" s="72">
        <v>6000.0</v>
      </c>
      <c r="G810" s="73" t="s">
        <v>53</v>
      </c>
      <c r="H810" s="74">
        <v>46204.0</v>
      </c>
      <c r="I810" s="67" t="s">
        <v>17</v>
      </c>
      <c r="J810" s="67" t="s">
        <v>54</v>
      </c>
      <c r="K810" s="67" t="s">
        <v>66</v>
      </c>
      <c r="L810" s="67" t="s">
        <v>56</v>
      </c>
      <c r="M810" s="73" t="s">
        <v>112</v>
      </c>
      <c r="N810" s="67" t="s">
        <v>58</v>
      </c>
      <c r="O810" s="59" t="s">
        <v>69</v>
      </c>
      <c r="P810" s="59"/>
      <c r="Q810" s="59" t="s">
        <v>2256</v>
      </c>
      <c r="R810" s="76" t="s">
        <v>947</v>
      </c>
      <c r="S810" s="59"/>
      <c r="T810" s="59"/>
      <c r="U810" s="77" t="str">
        <f t="array" ref="U810">IFERROR(INDEX(DFD!$D$2:$D$1048791,MATCH($Q810,DFD!$B$2:$B$1048791,0)),"")</f>
        <v/>
      </c>
      <c r="V810" s="77" t="str">
        <f t="array" ref="V810">IFERROR(INDEX(DFD!$F$2:$F$1048791,MATCH($Q810,DFD!$B$2:$B$1048791,0)),"")</f>
        <v/>
      </c>
      <c r="W810" s="84" t="str">
        <f t="array" ref="W810">IFERROR(INDEX(DFD!$E$2:$E$1048791,MATCH($Q810,DFD!$B$2:$B$1048791,0)),"")</f>
        <v/>
      </c>
      <c r="X810" s="84" t="str">
        <f t="array" ref="X810">IFERROR(INDEX(DFD!$K$2:$K$1048791,MATCH($Q810,DFD!$B$2:$B$1048791,0)),"")</f>
        <v/>
      </c>
      <c r="Y810" s="84" t="str">
        <f t="array" ref="Y810">IFERROR(INDEX(DFD!$L$2:$L$1048790,MATCH($Q810,DFD!$B$2:$B$1048790,0)),"")</f>
        <v/>
      </c>
      <c r="Z810" s="84">
        <f t="shared" si="13"/>
        <v>45</v>
      </c>
      <c r="AA810" s="59"/>
      <c r="AB810" s="59" t="s">
        <v>78</v>
      </c>
      <c r="AC810" s="59"/>
      <c r="AD810" s="85">
        <v>46043.0</v>
      </c>
      <c r="AE810" s="86">
        <f t="shared" si="8"/>
        <v>1</v>
      </c>
    </row>
    <row r="811" ht="15.75" customHeight="1">
      <c r="A811" s="87" t="s">
        <v>2257</v>
      </c>
      <c r="B811" s="87" t="s">
        <v>400</v>
      </c>
      <c r="C811" s="88" t="s">
        <v>2258</v>
      </c>
      <c r="D811" s="88" t="s">
        <v>51</v>
      </c>
      <c r="E811" s="88">
        <v>80.0</v>
      </c>
      <c r="F811" s="89">
        <v>12000.0</v>
      </c>
      <c r="G811" s="90" t="s">
        <v>53</v>
      </c>
      <c r="H811" s="91">
        <v>46235.0</v>
      </c>
      <c r="I811" s="92" t="s">
        <v>17</v>
      </c>
      <c r="J811" s="92" t="s">
        <v>54</v>
      </c>
      <c r="K811" s="92" t="s">
        <v>66</v>
      </c>
      <c r="L811" s="92" t="s">
        <v>56</v>
      </c>
      <c r="M811" s="90" t="s">
        <v>104</v>
      </c>
      <c r="N811" s="92" t="s">
        <v>58</v>
      </c>
      <c r="O811" s="92" t="s">
        <v>89</v>
      </c>
      <c r="P811" s="87"/>
      <c r="Q811" s="87" t="s">
        <v>752</v>
      </c>
      <c r="R811" s="93" t="s">
        <v>753</v>
      </c>
      <c r="S811" s="87"/>
      <c r="T811" s="87"/>
      <c r="U811" s="94" t="str">
        <f t="array" ref="U811">IFERROR(INDEX(DFD!$D$2:$D$1048791,MATCH($Q811,DFD!$B$2:$B$1048791,0)),"")</f>
        <v/>
      </c>
      <c r="V811" s="94" t="str">
        <f t="array" ref="V811">IFERROR(INDEX(DFD!$F$2:$F$1048791,MATCH($Q811,DFD!$B$2:$B$1048791,0)),"")</f>
        <v/>
      </c>
      <c r="W811" s="97" t="str">
        <f t="array" ref="W811">IFERROR(INDEX(DFD!$E$2:$E$1048791,MATCH($Q811,DFD!$B$2:$B$1048791,0)),"")</f>
        <v/>
      </c>
      <c r="X811" s="97" t="str">
        <f t="array" ref="X811">IFERROR(INDEX(DFD!$K$2:$K$1048791,MATCH($Q811,DFD!$B$2:$B$1048791,0)),"")</f>
        <v/>
      </c>
      <c r="Y811" s="97" t="str">
        <f t="array" ref="Y811">IFERROR(INDEX(DFD!$L$2:$L$1048790,MATCH($Q811,DFD!$B$2:$B$1048790,0)),"")</f>
        <v/>
      </c>
      <c r="Z811" s="97">
        <f t="shared" si="13"/>
        <v>45</v>
      </c>
      <c r="AA811" s="87"/>
      <c r="AB811" s="87" t="s">
        <v>78</v>
      </c>
      <c r="AC811" s="87"/>
      <c r="AD811" s="99">
        <v>46043.0</v>
      </c>
      <c r="AE811" s="100">
        <f t="shared" si="8"/>
        <v>1</v>
      </c>
    </row>
    <row r="812" ht="15.75" customHeight="1">
      <c r="A812" s="59" t="s">
        <v>2259</v>
      </c>
      <c r="B812" s="59" t="s">
        <v>171</v>
      </c>
      <c r="C812" s="60" t="s">
        <v>2260</v>
      </c>
      <c r="D812" s="60" t="s">
        <v>51</v>
      </c>
      <c r="E812" s="60">
        <v>2.0</v>
      </c>
      <c r="F812" s="72">
        <v>100.0</v>
      </c>
      <c r="G812" s="73" t="s">
        <v>53</v>
      </c>
      <c r="H812" s="74">
        <v>46143.0</v>
      </c>
      <c r="I812" s="67" t="s">
        <v>17</v>
      </c>
      <c r="J812" s="67" t="s">
        <v>54</v>
      </c>
      <c r="K812" s="67" t="s">
        <v>66</v>
      </c>
      <c r="L812" s="67" t="s">
        <v>67</v>
      </c>
      <c r="M812" s="73" t="s">
        <v>112</v>
      </c>
      <c r="N812" s="67" t="s">
        <v>5</v>
      </c>
      <c r="O812" s="59" t="s">
        <v>69</v>
      </c>
      <c r="P812" s="59"/>
      <c r="Q812" s="59" t="s">
        <v>2261</v>
      </c>
      <c r="R812" s="76" t="s">
        <v>181</v>
      </c>
      <c r="S812" s="59"/>
      <c r="T812" s="59"/>
      <c r="U812" s="77" t="str">
        <f t="array" ref="U812">IFERROR(INDEX(DFD!$D$2:$D$1048791,MATCH($Q812,DFD!$B$2:$B$1048791,0)),"")</f>
        <v/>
      </c>
      <c r="V812" s="77" t="s">
        <v>280</v>
      </c>
      <c r="W812" s="84" t="str">
        <f t="array" ref="W812">IFERROR(INDEX(DFD!$E$2:$E$1048791,MATCH($Q812,DFD!$B$2:$B$1048791,0)),"")</f>
        <v/>
      </c>
      <c r="X812" s="84" t="str">
        <f t="array" ref="X812">IFERROR(INDEX(DFD!$K$2:$K$1048791,MATCH($Q812,DFD!$B$2:$B$1048791,0)),"")</f>
        <v/>
      </c>
      <c r="Y812" s="84" t="str">
        <f t="array" ref="Y812">IFERROR(INDEX(DFD!$L$2:$L$1048790,MATCH($Q812,DFD!$B$2:$B$1048790,0)),"")</f>
        <v/>
      </c>
      <c r="Z812" s="84">
        <f t="shared" si="13"/>
        <v>45</v>
      </c>
      <c r="AA812" s="59"/>
      <c r="AB812" s="59" t="s">
        <v>78</v>
      </c>
      <c r="AC812" s="59"/>
      <c r="AD812" s="85">
        <v>46043.0</v>
      </c>
      <c r="AE812" s="86">
        <f t="shared" si="8"/>
        <v>1</v>
      </c>
    </row>
    <row r="813" ht="15.75" customHeight="1">
      <c r="A813" s="87" t="s">
        <v>2262</v>
      </c>
      <c r="B813" s="87" t="s">
        <v>95</v>
      </c>
      <c r="C813" s="88" t="s">
        <v>2260</v>
      </c>
      <c r="D813" s="88" t="s">
        <v>51</v>
      </c>
      <c r="E813" s="88">
        <v>2.0</v>
      </c>
      <c r="F813" s="89">
        <v>100.0</v>
      </c>
      <c r="G813" s="90" t="s">
        <v>53</v>
      </c>
      <c r="H813" s="91">
        <v>46143.0</v>
      </c>
      <c r="I813" s="92" t="s">
        <v>17</v>
      </c>
      <c r="J813" s="92" t="s">
        <v>54</v>
      </c>
      <c r="K813" s="92" t="s">
        <v>66</v>
      </c>
      <c r="L813" s="92" t="s">
        <v>67</v>
      </c>
      <c r="M813" s="90" t="s">
        <v>112</v>
      </c>
      <c r="N813" s="92" t="s">
        <v>5</v>
      </c>
      <c r="O813" s="87" t="s">
        <v>69</v>
      </c>
      <c r="P813" s="87"/>
      <c r="Q813" s="87" t="s">
        <v>2261</v>
      </c>
      <c r="R813" s="93" t="s">
        <v>181</v>
      </c>
      <c r="S813" s="87"/>
      <c r="T813" s="87"/>
      <c r="U813" s="94" t="str">
        <f t="array" ref="U813">IFERROR(INDEX(DFD!$D$2:$D$1048791,MATCH($Q813,DFD!$B$2:$B$1048791,0)),"")</f>
        <v/>
      </c>
      <c r="V813" s="94" t="s">
        <v>280</v>
      </c>
      <c r="W813" s="97" t="str">
        <f t="array" ref="W813">IFERROR(INDEX(DFD!$E$2:$E$1048791,MATCH($Q813,DFD!$B$2:$B$1048791,0)),"")</f>
        <v/>
      </c>
      <c r="X813" s="97" t="str">
        <f t="array" ref="X813">IFERROR(INDEX(DFD!$K$2:$K$1048791,MATCH($Q813,DFD!$B$2:$B$1048791,0)),"")</f>
        <v/>
      </c>
      <c r="Y813" s="97" t="str">
        <f t="array" ref="Y813">IFERROR(INDEX(DFD!$L$2:$L$1048790,MATCH($Q813,DFD!$B$2:$B$1048790,0)),"")</f>
        <v/>
      </c>
      <c r="Z813" s="97">
        <f t="shared" si="13"/>
        <v>45</v>
      </c>
      <c r="AA813" s="87"/>
      <c r="AB813" s="87" t="s">
        <v>78</v>
      </c>
      <c r="AC813" s="87"/>
      <c r="AD813" s="99">
        <v>46043.0</v>
      </c>
      <c r="AE813" s="100">
        <f t="shared" si="8"/>
        <v>1</v>
      </c>
    </row>
    <row r="814" ht="15.75" customHeight="1">
      <c r="A814" s="59" t="s">
        <v>2263</v>
      </c>
      <c r="B814" s="59" t="s">
        <v>172</v>
      </c>
      <c r="C814" s="60" t="s">
        <v>2264</v>
      </c>
      <c r="D814" s="60" t="s">
        <v>51</v>
      </c>
      <c r="E814" s="60">
        <v>2.0</v>
      </c>
      <c r="F814" s="72">
        <v>680.0</v>
      </c>
      <c r="G814" s="73" t="s">
        <v>53</v>
      </c>
      <c r="H814" s="74">
        <v>46174.0</v>
      </c>
      <c r="I814" s="67" t="s">
        <v>17</v>
      </c>
      <c r="J814" s="67" t="s">
        <v>54</v>
      </c>
      <c r="K814" s="67" t="s">
        <v>66</v>
      </c>
      <c r="L814" s="67" t="s">
        <v>67</v>
      </c>
      <c r="M814" s="73" t="s">
        <v>167</v>
      </c>
      <c r="N814" s="67" t="s">
        <v>5</v>
      </c>
      <c r="O814" s="67" t="s">
        <v>89</v>
      </c>
      <c r="P814" s="59"/>
      <c r="Q814" s="59" t="s">
        <v>2261</v>
      </c>
      <c r="R814" s="76" t="s">
        <v>181</v>
      </c>
      <c r="S814" s="59"/>
      <c r="T814" s="59"/>
      <c r="U814" s="77" t="str">
        <f t="array" ref="U814">IFERROR(INDEX(DFD!$D$2:$D$1048791,MATCH($Q814,DFD!$B$2:$B$1048791,0)),"")</f>
        <v/>
      </c>
      <c r="V814" s="77" t="s">
        <v>280</v>
      </c>
      <c r="W814" s="84" t="str">
        <f t="array" ref="W814">IFERROR(INDEX(DFD!$E$2:$E$1048791,MATCH($Q814,DFD!$B$2:$B$1048791,0)),"")</f>
        <v/>
      </c>
      <c r="X814" s="84" t="str">
        <f t="array" ref="X814">IFERROR(INDEX(DFD!$K$2:$K$1048791,MATCH($Q814,DFD!$B$2:$B$1048791,0)),"")</f>
        <v/>
      </c>
      <c r="Y814" s="84" t="str">
        <f t="array" ref="Y814">IFERROR(INDEX(DFD!$L$2:$L$1048790,MATCH($Q814,DFD!$B$2:$B$1048790,0)),"")</f>
        <v/>
      </c>
      <c r="Z814" s="84">
        <f t="shared" si="13"/>
        <v>45</v>
      </c>
      <c r="AA814" s="59"/>
      <c r="AB814" s="59" t="s">
        <v>78</v>
      </c>
      <c r="AC814" s="59"/>
      <c r="AD814" s="85">
        <v>46043.0</v>
      </c>
      <c r="AE814" s="86">
        <f t="shared" si="8"/>
        <v>1</v>
      </c>
    </row>
    <row r="815" ht="15.75" customHeight="1">
      <c r="A815" s="87" t="s">
        <v>2265</v>
      </c>
      <c r="B815" s="71" t="s">
        <v>80</v>
      </c>
      <c r="C815" s="88" t="s">
        <v>2264</v>
      </c>
      <c r="D815" s="88" t="s">
        <v>51</v>
      </c>
      <c r="E815" s="88">
        <v>2.0</v>
      </c>
      <c r="F815" s="89">
        <v>680.0</v>
      </c>
      <c r="G815" s="90" t="s">
        <v>53</v>
      </c>
      <c r="H815" s="91">
        <v>46174.0</v>
      </c>
      <c r="I815" s="92" t="s">
        <v>17</v>
      </c>
      <c r="J815" s="92" t="s">
        <v>54</v>
      </c>
      <c r="K815" s="92" t="s">
        <v>66</v>
      </c>
      <c r="L815" s="92" t="s">
        <v>67</v>
      </c>
      <c r="M815" s="90" t="s">
        <v>167</v>
      </c>
      <c r="N815" s="92" t="s">
        <v>5</v>
      </c>
      <c r="O815" s="87" t="s">
        <v>69</v>
      </c>
      <c r="P815" s="87"/>
      <c r="Q815" s="87" t="s">
        <v>2261</v>
      </c>
      <c r="R815" s="93" t="s">
        <v>181</v>
      </c>
      <c r="S815" s="87"/>
      <c r="T815" s="87"/>
      <c r="U815" s="94" t="str">
        <f t="array" ref="U815">IFERROR(INDEX(DFD!$D$2:$D$1048791,MATCH($Q815,DFD!$B$2:$B$1048791,0)),"")</f>
        <v/>
      </c>
      <c r="V815" s="94" t="s">
        <v>280</v>
      </c>
      <c r="W815" s="97" t="str">
        <f t="array" ref="W815">IFERROR(INDEX(DFD!$E$2:$E$1048791,MATCH($Q815,DFD!$B$2:$B$1048791,0)),"")</f>
        <v/>
      </c>
      <c r="X815" s="97" t="str">
        <f t="array" ref="X815">IFERROR(INDEX(DFD!$K$2:$K$1048791,MATCH($Q815,DFD!$B$2:$B$1048791,0)),"")</f>
        <v/>
      </c>
      <c r="Y815" s="97" t="str">
        <f t="array" ref="Y815">IFERROR(INDEX(DFD!$L$2:$L$1048790,MATCH($Q815,DFD!$B$2:$B$1048790,0)),"")</f>
        <v/>
      </c>
      <c r="Z815" s="97">
        <f t="shared" si="13"/>
        <v>45</v>
      </c>
      <c r="AA815" s="87"/>
      <c r="AB815" s="87" t="s">
        <v>78</v>
      </c>
      <c r="AC815" s="87"/>
      <c r="AD815" s="99">
        <v>46043.0</v>
      </c>
      <c r="AE815" s="100">
        <f t="shared" si="8"/>
        <v>1</v>
      </c>
    </row>
    <row r="816" ht="15.75" customHeight="1">
      <c r="A816" s="59" t="s">
        <v>2266</v>
      </c>
      <c r="B816" s="59" t="s">
        <v>92</v>
      </c>
      <c r="C816" s="60" t="s">
        <v>2264</v>
      </c>
      <c r="D816" s="60" t="s">
        <v>51</v>
      </c>
      <c r="E816" s="60">
        <v>2.0</v>
      </c>
      <c r="F816" s="72">
        <v>680.0</v>
      </c>
      <c r="G816" s="73" t="s">
        <v>53</v>
      </c>
      <c r="H816" s="74">
        <v>46174.0</v>
      </c>
      <c r="I816" s="67" t="s">
        <v>17</v>
      </c>
      <c r="J816" s="67" t="s">
        <v>54</v>
      </c>
      <c r="K816" s="67" t="s">
        <v>66</v>
      </c>
      <c r="L816" s="67" t="s">
        <v>67</v>
      </c>
      <c r="M816" s="73" t="s">
        <v>104</v>
      </c>
      <c r="N816" s="67" t="s">
        <v>5</v>
      </c>
      <c r="O816" s="59" t="s">
        <v>69</v>
      </c>
      <c r="P816" s="59"/>
      <c r="Q816" s="59" t="s">
        <v>2261</v>
      </c>
      <c r="R816" s="76" t="s">
        <v>181</v>
      </c>
      <c r="S816" s="59"/>
      <c r="T816" s="59"/>
      <c r="U816" s="77" t="str">
        <f t="array" ref="U816">IFERROR(INDEX(DFD!$D$2:$D$1048791,MATCH($Q816,DFD!$B$2:$B$1048791,0)),"")</f>
        <v/>
      </c>
      <c r="V816" s="77" t="s">
        <v>280</v>
      </c>
      <c r="W816" s="84" t="str">
        <f t="array" ref="W816">IFERROR(INDEX(DFD!$E$2:$E$1048791,MATCH($Q816,DFD!$B$2:$B$1048791,0)),"")</f>
        <v/>
      </c>
      <c r="X816" s="84" t="str">
        <f t="array" ref="X816">IFERROR(INDEX(DFD!$K$2:$K$1048791,MATCH($Q816,DFD!$B$2:$B$1048791,0)),"")</f>
        <v/>
      </c>
      <c r="Y816" s="84" t="str">
        <f t="array" ref="Y816">IFERROR(INDEX(DFD!$L$2:$L$1048790,MATCH($Q816,DFD!$B$2:$B$1048790,0)),"")</f>
        <v/>
      </c>
      <c r="Z816" s="84">
        <f t="shared" si="13"/>
        <v>45</v>
      </c>
      <c r="AA816" s="59"/>
      <c r="AB816" s="59" t="s">
        <v>78</v>
      </c>
      <c r="AC816" s="59"/>
      <c r="AD816" s="85">
        <v>46043.0</v>
      </c>
      <c r="AE816" s="86">
        <f t="shared" si="8"/>
        <v>1</v>
      </c>
    </row>
    <row r="817" ht="15.75" customHeight="1">
      <c r="A817" s="87" t="s">
        <v>2267</v>
      </c>
      <c r="B817" s="87" t="s">
        <v>94</v>
      </c>
      <c r="C817" s="88" t="s">
        <v>2264</v>
      </c>
      <c r="D817" s="88" t="s">
        <v>51</v>
      </c>
      <c r="E817" s="88">
        <v>1.0</v>
      </c>
      <c r="F817" s="89">
        <v>340.0</v>
      </c>
      <c r="G817" s="90" t="s">
        <v>53</v>
      </c>
      <c r="H817" s="91">
        <v>46174.0</v>
      </c>
      <c r="I817" s="92" t="s">
        <v>17</v>
      </c>
      <c r="J817" s="92" t="s">
        <v>54</v>
      </c>
      <c r="K817" s="92" t="s">
        <v>66</v>
      </c>
      <c r="L817" s="92" t="s">
        <v>67</v>
      </c>
      <c r="M817" s="90" t="s">
        <v>104</v>
      </c>
      <c r="N817" s="92" t="s">
        <v>5</v>
      </c>
      <c r="O817" s="92" t="s">
        <v>89</v>
      </c>
      <c r="P817" s="87"/>
      <c r="Q817" s="87" t="s">
        <v>2261</v>
      </c>
      <c r="R817" s="93" t="s">
        <v>181</v>
      </c>
      <c r="S817" s="87"/>
      <c r="T817" s="87"/>
      <c r="U817" s="94" t="str">
        <f t="array" ref="U817">IFERROR(INDEX(DFD!$D$2:$D$1048791,MATCH($Q817,DFD!$B$2:$B$1048791,0)),"")</f>
        <v/>
      </c>
      <c r="V817" s="94" t="s">
        <v>280</v>
      </c>
      <c r="W817" s="97" t="str">
        <f t="array" ref="W817">IFERROR(INDEX(DFD!$E$2:$E$1048791,MATCH($Q817,DFD!$B$2:$B$1048791,0)),"")</f>
        <v/>
      </c>
      <c r="X817" s="97" t="str">
        <f t="array" ref="X817">IFERROR(INDEX(DFD!$K$2:$K$1048791,MATCH($Q817,DFD!$B$2:$B$1048791,0)),"")</f>
        <v/>
      </c>
      <c r="Y817" s="97" t="str">
        <f t="array" ref="Y817">IFERROR(INDEX(DFD!$L$2:$L$1048790,MATCH($Q817,DFD!$B$2:$B$1048790,0)),"")</f>
        <v/>
      </c>
      <c r="Z817" s="97">
        <f t="shared" si="13"/>
        <v>45</v>
      </c>
      <c r="AA817" s="87"/>
      <c r="AB817" s="87" t="s">
        <v>78</v>
      </c>
      <c r="AC817" s="87"/>
      <c r="AD817" s="99">
        <v>46043.0</v>
      </c>
      <c r="AE817" s="100">
        <f t="shared" si="8"/>
        <v>1</v>
      </c>
    </row>
    <row r="818" ht="15.75" customHeight="1">
      <c r="A818" s="67" t="s">
        <v>2268</v>
      </c>
      <c r="B818" s="59" t="s">
        <v>277</v>
      </c>
      <c r="C818" s="60" t="s">
        <v>2269</v>
      </c>
      <c r="D818" s="60" t="s">
        <v>51</v>
      </c>
      <c r="E818" s="60">
        <v>2000.0</v>
      </c>
      <c r="F818" s="72">
        <v>18000.0</v>
      </c>
      <c r="G818" s="73" t="s">
        <v>53</v>
      </c>
      <c r="H818" s="74">
        <v>46235.0</v>
      </c>
      <c r="I818" s="67" t="s">
        <v>17</v>
      </c>
      <c r="J818" s="67" t="s">
        <v>54</v>
      </c>
      <c r="K818" s="67" t="s">
        <v>66</v>
      </c>
      <c r="L818" s="67" t="s">
        <v>67</v>
      </c>
      <c r="M818" s="73" t="s">
        <v>68</v>
      </c>
      <c r="N818" s="67" t="s">
        <v>20</v>
      </c>
      <c r="O818" s="59" t="s">
        <v>69</v>
      </c>
      <c r="P818" s="59"/>
      <c r="Q818" s="59" t="s">
        <v>2270</v>
      </c>
      <c r="R818" s="76" t="s">
        <v>2271</v>
      </c>
      <c r="S818" s="59"/>
      <c r="T818" s="59"/>
      <c r="U818" s="77" t="str">
        <f t="array" ref="U818">IFERROR(INDEX(DFD!$D$2:$D$1048791,MATCH($Q818,DFD!$B$2:$B$1048791,0)),"")</f>
        <v/>
      </c>
      <c r="V818" s="77" t="str">
        <f t="array" ref="V818">IFERROR(INDEX(DFD!$F$2:$F$1048791,MATCH($Q818,DFD!$B$2:$B$1048791,0)),"")</f>
        <v/>
      </c>
      <c r="W818" s="84" t="str">
        <f t="array" ref="W818">IFERROR(INDEX(DFD!$E$2:$E$1048791,MATCH($Q818,DFD!$B$2:$B$1048791,0)),"")</f>
        <v/>
      </c>
      <c r="X818" s="84" t="str">
        <f t="array" ref="X818">IFERROR(INDEX(DFD!$K$2:$K$1048791,MATCH($Q818,DFD!$B$2:$B$1048791,0)),"")</f>
        <v/>
      </c>
      <c r="Y818" s="84" t="str">
        <f t="array" ref="Y818">IFERROR(INDEX(DFD!$L$2:$L$1048790,MATCH($Q818,DFD!$B$2:$B$1048790,0)),"")</f>
        <v/>
      </c>
      <c r="Z818" s="84">
        <f t="shared" si="13"/>
        <v>45</v>
      </c>
      <c r="AA818" s="59"/>
      <c r="AB818" s="59" t="s">
        <v>78</v>
      </c>
      <c r="AC818" s="59"/>
      <c r="AD818" s="85">
        <v>46043.0</v>
      </c>
      <c r="AE818" s="86">
        <f t="shared" si="8"/>
        <v>1</v>
      </c>
    </row>
    <row r="819" ht="15.75" customHeight="1">
      <c r="A819" s="92" t="s">
        <v>2272</v>
      </c>
      <c r="B819" s="87" t="s">
        <v>277</v>
      </c>
      <c r="C819" s="88" t="s">
        <v>2273</v>
      </c>
      <c r="D819" s="88" t="s">
        <v>51</v>
      </c>
      <c r="E819" s="88">
        <v>3000.0</v>
      </c>
      <c r="F819" s="89">
        <v>15000.0</v>
      </c>
      <c r="G819" s="90" t="s">
        <v>53</v>
      </c>
      <c r="H819" s="91">
        <v>46235.0</v>
      </c>
      <c r="I819" s="92" t="s">
        <v>17</v>
      </c>
      <c r="J819" s="92" t="s">
        <v>54</v>
      </c>
      <c r="K819" s="92" t="s">
        <v>66</v>
      </c>
      <c r="L819" s="92" t="s">
        <v>67</v>
      </c>
      <c r="M819" s="90" t="s">
        <v>112</v>
      </c>
      <c r="N819" s="92" t="s">
        <v>20</v>
      </c>
      <c r="O819" s="87" t="s">
        <v>69</v>
      </c>
      <c r="P819" s="87"/>
      <c r="Q819" s="87" t="s">
        <v>2270</v>
      </c>
      <c r="R819" s="93" t="s">
        <v>2271</v>
      </c>
      <c r="S819" s="87"/>
      <c r="T819" s="87"/>
      <c r="U819" s="94" t="str">
        <f t="array" ref="U819">IFERROR(INDEX(DFD!$D$2:$D$1048791,MATCH($Q819,DFD!$B$2:$B$1048791,0)),"")</f>
        <v/>
      </c>
      <c r="V819" s="94" t="str">
        <f t="array" ref="V819">IFERROR(INDEX(DFD!$F$2:$F$1048791,MATCH($Q819,DFD!$B$2:$B$1048791,0)),"")</f>
        <v/>
      </c>
      <c r="W819" s="97" t="str">
        <f t="array" ref="W819">IFERROR(INDEX(DFD!$E$2:$E$1048791,MATCH($Q819,DFD!$B$2:$B$1048791,0)),"")</f>
        <v/>
      </c>
      <c r="X819" s="97" t="str">
        <f t="array" ref="X819">IFERROR(INDEX(DFD!$K$2:$K$1048791,MATCH($Q819,DFD!$B$2:$B$1048791,0)),"")</f>
        <v/>
      </c>
      <c r="Y819" s="97" t="str">
        <f t="array" ref="Y819">IFERROR(INDEX(DFD!$L$2:$L$1048790,MATCH($Q819,DFD!$B$2:$B$1048790,0)),"")</f>
        <v/>
      </c>
      <c r="Z819" s="97">
        <f t="shared" si="13"/>
        <v>45</v>
      </c>
      <c r="AA819" s="87"/>
      <c r="AB819" s="87" t="s">
        <v>78</v>
      </c>
      <c r="AC819" s="87"/>
      <c r="AD819" s="99">
        <v>46043.0</v>
      </c>
      <c r="AE819" s="100">
        <f t="shared" si="8"/>
        <v>1</v>
      </c>
    </row>
    <row r="820" ht="15.75" customHeight="1">
      <c r="A820" s="67" t="s">
        <v>2274</v>
      </c>
      <c r="B820" s="59" t="s">
        <v>427</v>
      </c>
      <c r="C820" s="60" t="s">
        <v>2275</v>
      </c>
      <c r="D820" s="60" t="s">
        <v>51</v>
      </c>
      <c r="E820" s="60">
        <v>1.0</v>
      </c>
      <c r="F820" s="72">
        <v>200000.0</v>
      </c>
      <c r="G820" s="73" t="s">
        <v>53</v>
      </c>
      <c r="H820" s="74">
        <v>46266.0</v>
      </c>
      <c r="I820" s="67" t="s">
        <v>18</v>
      </c>
      <c r="J820" s="67" t="s">
        <v>54</v>
      </c>
      <c r="K820" s="67" t="s">
        <v>429</v>
      </c>
      <c r="L820" s="67" t="s">
        <v>197</v>
      </c>
      <c r="M820" s="73" t="s">
        <v>68</v>
      </c>
      <c r="N820" s="67" t="s">
        <v>20</v>
      </c>
      <c r="O820" s="67" t="s">
        <v>89</v>
      </c>
      <c r="P820" s="59"/>
      <c r="Q820" s="59">
        <v>2025.0</v>
      </c>
      <c r="R820" s="76" t="s">
        <v>154</v>
      </c>
      <c r="S820" s="59"/>
      <c r="T820" s="59"/>
      <c r="U820" s="67" t="s">
        <v>2276</v>
      </c>
      <c r="V820" s="67" t="s">
        <v>1272</v>
      </c>
      <c r="W820" s="84" t="str">
        <f t="array" ref="W820">IFERROR(INDEX(#REF!,MATCH($Q820,'GERADOR DE DFD'!$B$2:$B1117),0),"")</f>
        <v/>
      </c>
      <c r="X820" s="84" t="str">
        <f t="array" ref="X820">IFERROR(INDEX('GERADOR DE DFD'!$J$2:$J1117,MATCH($Q820,'GERADOR DE DFD'!$B$2:$B1117),0),"")</f>
        <v/>
      </c>
      <c r="Y820" s="182"/>
      <c r="Z820" s="84"/>
      <c r="AA820" s="60" t="s">
        <v>2277</v>
      </c>
      <c r="AB820" s="59" t="s">
        <v>78</v>
      </c>
      <c r="AC820" s="59"/>
      <c r="AD820" s="85">
        <v>46043.0</v>
      </c>
      <c r="AE820" s="86">
        <f t="shared" si="8"/>
        <v>1</v>
      </c>
    </row>
    <row r="821" ht="15.75" customHeight="1">
      <c r="A821" s="87" t="s">
        <v>2278</v>
      </c>
      <c r="B821" s="87" t="s">
        <v>101</v>
      </c>
      <c r="C821" s="88" t="s">
        <v>2279</v>
      </c>
      <c r="D821" s="88" t="s">
        <v>51</v>
      </c>
      <c r="E821" s="88">
        <v>60.0</v>
      </c>
      <c r="F821" s="89">
        <v>32400.0</v>
      </c>
      <c r="G821" s="90" t="s">
        <v>53</v>
      </c>
      <c r="H821" s="91">
        <v>46235.0</v>
      </c>
      <c r="I821" s="92" t="s">
        <v>17</v>
      </c>
      <c r="J821" s="92" t="s">
        <v>54</v>
      </c>
      <c r="K821" s="92" t="s">
        <v>66</v>
      </c>
      <c r="L821" s="92" t="s">
        <v>56</v>
      </c>
      <c r="M821" s="90" t="s">
        <v>104</v>
      </c>
      <c r="N821" s="92" t="s">
        <v>58</v>
      </c>
      <c r="O821" s="87" t="s">
        <v>69</v>
      </c>
      <c r="P821" s="87"/>
      <c r="Q821" s="87" t="s">
        <v>128</v>
      </c>
      <c r="R821" s="93" t="s">
        <v>71</v>
      </c>
      <c r="S821" s="87"/>
      <c r="T821" s="87"/>
      <c r="U821" s="94" t="str">
        <f t="array" ref="U821">IFERROR(INDEX(DFD!$D$2:$D$1048791,MATCH($Q821,DFD!$B$2:$B$1048791,0)),"")</f>
        <v/>
      </c>
      <c r="V821" s="94" t="str">
        <f t="array" ref="V821">IFERROR(INDEX(DFD!$F$2:$F$1048791,MATCH($Q821,DFD!$B$2:$B$1048791,0)),"")</f>
        <v/>
      </c>
      <c r="W821" s="97" t="str">
        <f t="array" ref="W821">IFERROR(INDEX(DFD!$E$2:$E$1048791,MATCH($Q821,DFD!$B$2:$B$1048791,0)),"")</f>
        <v/>
      </c>
      <c r="X821" s="97" t="str">
        <f t="array" ref="X821">IFERROR(INDEX(DFD!$K$2:$K$1048791,MATCH($Q821,DFD!$B$2:$B$1048791,0)),"")</f>
        <v/>
      </c>
      <c r="Y821" s="97" t="str">
        <f t="array" ref="Y821">IFERROR(INDEX(DFD!$L$2:$L$1048790,MATCH($Q821,DFD!$B$2:$B$1048790,0)),"")</f>
        <v/>
      </c>
      <c r="Z821" s="97">
        <f t="shared" ref="Z821:Z825" si="14">Y821+45</f>
        <v>45</v>
      </c>
      <c r="AA821" s="87"/>
      <c r="AB821" s="87" t="s">
        <v>78</v>
      </c>
      <c r="AC821" s="87"/>
      <c r="AD821" s="99">
        <v>46043.0</v>
      </c>
      <c r="AE821" s="100">
        <f t="shared" si="8"/>
        <v>1</v>
      </c>
    </row>
    <row r="822" ht="15.75" customHeight="1">
      <c r="A822" s="59" t="s">
        <v>2280</v>
      </c>
      <c r="B822" s="59" t="s">
        <v>92</v>
      </c>
      <c r="C822" s="60" t="s">
        <v>2279</v>
      </c>
      <c r="D822" s="60" t="s">
        <v>51</v>
      </c>
      <c r="E822" s="60">
        <v>10.0</v>
      </c>
      <c r="F822" s="72">
        <v>4500.0</v>
      </c>
      <c r="G822" s="73" t="s">
        <v>53</v>
      </c>
      <c r="H822" s="74">
        <v>46204.0</v>
      </c>
      <c r="I822" s="67" t="s">
        <v>17</v>
      </c>
      <c r="J822" s="67" t="s">
        <v>54</v>
      </c>
      <c r="K822" s="67" t="s">
        <v>66</v>
      </c>
      <c r="L822" s="67" t="s">
        <v>67</v>
      </c>
      <c r="M822" s="73" t="s">
        <v>68</v>
      </c>
      <c r="N822" s="67" t="s">
        <v>5</v>
      </c>
      <c r="O822" s="59" t="s">
        <v>69</v>
      </c>
      <c r="P822" s="59"/>
      <c r="Q822" s="59" t="s">
        <v>128</v>
      </c>
      <c r="R822" s="76" t="s">
        <v>71</v>
      </c>
      <c r="S822" s="59"/>
      <c r="T822" s="59"/>
      <c r="U822" s="77" t="str">
        <f t="array" ref="U822">IFERROR(INDEX(DFD!$D$2:$D$1048791,MATCH($Q822,DFD!$B$2:$B$1048791,0)),"")</f>
        <v/>
      </c>
      <c r="V822" s="77" t="str">
        <f t="array" ref="V822">IFERROR(INDEX(DFD!$F$2:$F$1048791,MATCH($Q822,DFD!$B$2:$B$1048791,0)),"")</f>
        <v/>
      </c>
      <c r="W822" s="84" t="str">
        <f t="array" ref="W822">IFERROR(INDEX(DFD!$E$2:$E$1048791,MATCH($Q822,DFD!$B$2:$B$1048791,0)),"")</f>
        <v/>
      </c>
      <c r="X822" s="84" t="str">
        <f t="array" ref="X822">IFERROR(INDEX(DFD!$K$2:$K$1048791,MATCH($Q822,DFD!$B$2:$B$1048791,0)),"")</f>
        <v/>
      </c>
      <c r="Y822" s="84" t="str">
        <f t="array" ref="Y822">IFERROR(INDEX(DFD!$L$2:$L$1048790,MATCH($Q822,DFD!$B$2:$B$1048790,0)),"")</f>
        <v/>
      </c>
      <c r="Z822" s="84">
        <f t="shared" si="14"/>
        <v>45</v>
      </c>
      <c r="AA822" s="59"/>
      <c r="AB822" s="59" t="s">
        <v>78</v>
      </c>
      <c r="AC822" s="59"/>
      <c r="AD822" s="85">
        <v>46043.0</v>
      </c>
      <c r="AE822" s="86">
        <f t="shared" si="8"/>
        <v>1</v>
      </c>
    </row>
    <row r="823" ht="15.75" customHeight="1">
      <c r="A823" s="87" t="s">
        <v>2281</v>
      </c>
      <c r="B823" s="87" t="s">
        <v>94</v>
      </c>
      <c r="C823" s="88" t="s">
        <v>2279</v>
      </c>
      <c r="D823" s="88" t="s">
        <v>51</v>
      </c>
      <c r="E823" s="88">
        <v>10.0</v>
      </c>
      <c r="F823" s="89">
        <v>4500.0</v>
      </c>
      <c r="G823" s="90" t="s">
        <v>53</v>
      </c>
      <c r="H823" s="91">
        <v>46204.0</v>
      </c>
      <c r="I823" s="92" t="s">
        <v>17</v>
      </c>
      <c r="J823" s="92" t="s">
        <v>54</v>
      </c>
      <c r="K823" s="92" t="s">
        <v>66</v>
      </c>
      <c r="L823" s="92" t="s">
        <v>67</v>
      </c>
      <c r="M823" s="90" t="s">
        <v>68</v>
      </c>
      <c r="N823" s="92" t="s">
        <v>5</v>
      </c>
      <c r="O823" s="92" t="s">
        <v>89</v>
      </c>
      <c r="P823" s="87"/>
      <c r="Q823" s="87" t="s">
        <v>128</v>
      </c>
      <c r="R823" s="93" t="s">
        <v>71</v>
      </c>
      <c r="S823" s="87"/>
      <c r="T823" s="87"/>
      <c r="U823" s="94" t="str">
        <f t="array" ref="U823">IFERROR(INDEX(DFD!$D$2:$D$1048791,MATCH($Q823,DFD!$B$2:$B$1048791,0)),"")</f>
        <v/>
      </c>
      <c r="V823" s="94" t="str">
        <f t="array" ref="V823">IFERROR(INDEX(DFD!$F$2:$F$1048791,MATCH($Q823,DFD!$B$2:$B$1048791,0)),"")</f>
        <v/>
      </c>
      <c r="W823" s="97" t="str">
        <f t="array" ref="W823">IFERROR(INDEX(DFD!$E$2:$E$1048791,MATCH($Q823,DFD!$B$2:$B$1048791,0)),"")</f>
        <v/>
      </c>
      <c r="X823" s="97" t="str">
        <f t="array" ref="X823">IFERROR(INDEX(DFD!$K$2:$K$1048791,MATCH($Q823,DFD!$B$2:$B$1048791,0)),"")</f>
        <v/>
      </c>
      <c r="Y823" s="97" t="str">
        <f t="array" ref="Y823">IFERROR(INDEX(DFD!$L$2:$L$1048790,MATCH($Q823,DFD!$B$2:$B$1048790,0)),"")</f>
        <v/>
      </c>
      <c r="Z823" s="97">
        <f t="shared" si="14"/>
        <v>45</v>
      </c>
      <c r="AA823" s="87"/>
      <c r="AB823" s="87" t="s">
        <v>78</v>
      </c>
      <c r="AC823" s="87"/>
      <c r="AD823" s="99">
        <v>46043.0</v>
      </c>
      <c r="AE823" s="100">
        <f t="shared" si="8"/>
        <v>1</v>
      </c>
    </row>
    <row r="824" ht="15.75" customHeight="1">
      <c r="A824" s="59" t="s">
        <v>2282</v>
      </c>
      <c r="B824" s="59" t="s">
        <v>101</v>
      </c>
      <c r="C824" s="60" t="s">
        <v>2283</v>
      </c>
      <c r="D824" s="60" t="s">
        <v>51</v>
      </c>
      <c r="E824" s="60">
        <v>2.0</v>
      </c>
      <c r="F824" s="72">
        <v>40.0</v>
      </c>
      <c r="G824" s="73" t="s">
        <v>53</v>
      </c>
      <c r="H824" s="74">
        <v>46143.0</v>
      </c>
      <c r="I824" s="67" t="s">
        <v>17</v>
      </c>
      <c r="J824" s="67" t="s">
        <v>54</v>
      </c>
      <c r="K824" s="67" t="s">
        <v>66</v>
      </c>
      <c r="L824" s="67" t="s">
        <v>56</v>
      </c>
      <c r="M824" s="73" t="s">
        <v>112</v>
      </c>
      <c r="N824" s="67" t="s">
        <v>58</v>
      </c>
      <c r="O824" s="59" t="s">
        <v>69</v>
      </c>
      <c r="P824" s="59"/>
      <c r="Q824" s="59" t="s">
        <v>118</v>
      </c>
      <c r="R824" s="76" t="s">
        <v>181</v>
      </c>
      <c r="S824" s="59"/>
      <c r="T824" s="59"/>
      <c r="U824" s="77" t="str">
        <f t="array" ref="U824">IFERROR(INDEX(DFD!$D$2:$D$1048791,MATCH($Q824,DFD!$B$2:$B$1048791,0)),"")</f>
        <v/>
      </c>
      <c r="V824" s="77" t="str">
        <f t="array" ref="V824">IFERROR(INDEX(DFD!$F$2:$F$1048791,MATCH($Q824,DFD!$B$2:$B$1048791,0)),"")</f>
        <v/>
      </c>
      <c r="W824" s="84" t="str">
        <f t="array" ref="W824">IFERROR(INDEX(DFD!$E$2:$E$1048791,MATCH($Q824,DFD!$B$2:$B$1048791,0)),"")</f>
        <v/>
      </c>
      <c r="X824" s="84" t="str">
        <f t="array" ref="X824">IFERROR(INDEX(DFD!$K$2:$K$1048791,MATCH($Q824,DFD!$B$2:$B$1048791,0)),"")</f>
        <v/>
      </c>
      <c r="Y824" s="84" t="str">
        <f t="array" ref="Y824">IFERROR(INDEX(DFD!$L$2:$L$1048790,MATCH($Q824,DFD!$B$2:$B$1048790,0)),"")</f>
        <v/>
      </c>
      <c r="Z824" s="84">
        <f t="shared" si="14"/>
        <v>45</v>
      </c>
      <c r="AA824" s="59"/>
      <c r="AB824" s="59" t="s">
        <v>78</v>
      </c>
      <c r="AC824" s="59"/>
      <c r="AD824" s="85">
        <v>46043.0</v>
      </c>
      <c r="AE824" s="86">
        <f t="shared" si="8"/>
        <v>1</v>
      </c>
    </row>
    <row r="825" ht="15.75" customHeight="1">
      <c r="A825" s="87" t="s">
        <v>2284</v>
      </c>
      <c r="B825" s="87" t="s">
        <v>155</v>
      </c>
      <c r="C825" s="88" t="s">
        <v>2285</v>
      </c>
      <c r="D825" s="88" t="s">
        <v>51</v>
      </c>
      <c r="E825" s="88">
        <v>1.0</v>
      </c>
      <c r="F825" s="89">
        <v>7000.0</v>
      </c>
      <c r="G825" s="90" t="s">
        <v>53</v>
      </c>
      <c r="H825" s="91">
        <v>46204.0</v>
      </c>
      <c r="I825" s="92" t="s">
        <v>17</v>
      </c>
      <c r="J825" s="92" t="s">
        <v>54</v>
      </c>
      <c r="K825" s="92" t="s">
        <v>66</v>
      </c>
      <c r="L825" s="92" t="s">
        <v>67</v>
      </c>
      <c r="M825" s="90" t="s">
        <v>57</v>
      </c>
      <c r="N825" s="92" t="s">
        <v>5</v>
      </c>
      <c r="O825" s="87" t="s">
        <v>69</v>
      </c>
      <c r="P825" s="87"/>
      <c r="Q825" s="87" t="s">
        <v>467</v>
      </c>
      <c r="R825" s="93" t="s">
        <v>2286</v>
      </c>
      <c r="S825" s="87"/>
      <c r="T825" s="87"/>
      <c r="U825" s="94" t="s">
        <v>2287</v>
      </c>
      <c r="V825" s="94" t="s">
        <v>155</v>
      </c>
      <c r="W825" s="97" t="str">
        <f t="array" ref="W825">IFERROR(INDEX(DFD!$E$2:$E$1048791,MATCH($Q825,DFD!$B$2:$B$1048791,0)),"")</f>
        <v/>
      </c>
      <c r="X825" s="97" t="str">
        <f t="array" ref="X825">IFERROR(INDEX(DFD!$K$2:$K$1048791,MATCH($Q825,DFD!$B$2:$B$1048791,0)),"")</f>
        <v/>
      </c>
      <c r="Y825" s="97" t="str">
        <f t="array" ref="Y825">IFERROR(INDEX(DFD!$L$2:$L$1048790,MATCH($Q825,DFD!$B$2:$B$1048790,0)),"")</f>
        <v/>
      </c>
      <c r="Z825" s="97">
        <f t="shared" si="14"/>
        <v>45</v>
      </c>
      <c r="AA825" s="87"/>
      <c r="AB825" s="87" t="s">
        <v>288</v>
      </c>
      <c r="AC825" s="87"/>
      <c r="AD825" s="99">
        <v>46043.0</v>
      </c>
      <c r="AE825" s="100">
        <f t="shared" si="8"/>
        <v>1</v>
      </c>
    </row>
    <row r="826" ht="15.75" customHeight="1">
      <c r="A826" s="39" t="s">
        <v>21</v>
      </c>
      <c r="B826" s="39" t="s">
        <v>22</v>
      </c>
      <c r="C826" s="39" t="s">
        <v>23</v>
      </c>
      <c r="D826" s="55" t="s">
        <v>24</v>
      </c>
      <c r="E826" s="39" t="s">
        <v>2288</v>
      </c>
      <c r="F826" s="55" t="s">
        <v>26</v>
      </c>
      <c r="G826" s="55" t="s">
        <v>27</v>
      </c>
      <c r="H826" s="39" t="s">
        <v>28</v>
      </c>
      <c r="I826" s="56" t="s">
        <v>29</v>
      </c>
      <c r="J826" s="19"/>
      <c r="K826" s="20"/>
      <c r="L826" s="55" t="s">
        <v>30</v>
      </c>
      <c r="M826" s="57" t="s">
        <v>31</v>
      </c>
      <c r="N826" s="39" t="s">
        <v>32</v>
      </c>
      <c r="O826" s="67" t="s">
        <v>89</v>
      </c>
      <c r="P826" s="39" t="s">
        <v>34</v>
      </c>
      <c r="Q826" s="39" t="s">
        <v>35</v>
      </c>
      <c r="R826" s="39" t="s">
        <v>36</v>
      </c>
      <c r="S826" s="39" t="s">
        <v>37</v>
      </c>
      <c r="T826" s="39" t="s">
        <v>38</v>
      </c>
      <c r="U826" s="39" t="s">
        <v>39</v>
      </c>
      <c r="V826" s="39" t="s">
        <v>40</v>
      </c>
      <c r="W826" s="58" t="s">
        <v>41</v>
      </c>
      <c r="X826" s="39" t="s">
        <v>42</v>
      </c>
      <c r="Y826" s="58" t="s">
        <v>43</v>
      </c>
      <c r="Z826" s="39" t="s">
        <v>44</v>
      </c>
      <c r="AA826" s="39" t="s">
        <v>45</v>
      </c>
      <c r="AB826" s="39" t="s">
        <v>46</v>
      </c>
      <c r="AC826" s="39" t="s">
        <v>47</v>
      </c>
      <c r="AD826" s="39" t="s">
        <v>48</v>
      </c>
      <c r="AE826" s="183"/>
    </row>
    <row r="827" ht="15.75" customHeight="1">
      <c r="A827" s="92"/>
      <c r="B827" s="87" t="s">
        <v>427</v>
      </c>
      <c r="C827" s="88" t="s">
        <v>2289</v>
      </c>
      <c r="D827" s="88" t="s">
        <v>51</v>
      </c>
      <c r="E827" s="88">
        <v>1.0</v>
      </c>
      <c r="F827" s="89">
        <v>600000.0</v>
      </c>
      <c r="G827" s="90" t="s">
        <v>53</v>
      </c>
      <c r="H827" s="91">
        <v>46204.0</v>
      </c>
      <c r="I827" s="92" t="s">
        <v>18</v>
      </c>
      <c r="J827" s="92" t="s">
        <v>54</v>
      </c>
      <c r="K827" s="92" t="s">
        <v>429</v>
      </c>
      <c r="L827" s="92" t="s">
        <v>197</v>
      </c>
      <c r="M827" s="90" t="s">
        <v>68</v>
      </c>
      <c r="N827" s="92" t="s">
        <v>5</v>
      </c>
      <c r="O827" s="87" t="s">
        <v>69</v>
      </c>
      <c r="P827" s="87"/>
      <c r="Q827" s="87"/>
      <c r="R827" s="93" t="s">
        <v>431</v>
      </c>
      <c r="S827" s="87"/>
      <c r="T827" s="87"/>
      <c r="U827" s="92" t="s">
        <v>2290</v>
      </c>
      <c r="V827" s="92" t="s">
        <v>1272</v>
      </c>
      <c r="W827" s="97">
        <v>45786.0</v>
      </c>
      <c r="X827" s="97"/>
      <c r="Y827" s="184"/>
      <c r="Z827" s="97"/>
      <c r="AA827" s="88"/>
      <c r="AB827" s="87" t="s">
        <v>78</v>
      </c>
      <c r="AC827" s="87"/>
      <c r="AD827" s="99"/>
      <c r="AE827" s="100">
        <f t="shared" ref="AE827:AE868" si="15">SUBTOTAL(103, R827)</f>
        <v>1</v>
      </c>
    </row>
    <row r="828" ht="15.75" customHeight="1">
      <c r="A828" s="67" t="s">
        <v>2291</v>
      </c>
      <c r="B828" s="59" t="s">
        <v>386</v>
      </c>
      <c r="C828" s="60" t="s">
        <v>2292</v>
      </c>
      <c r="D828" s="60" t="s">
        <v>51</v>
      </c>
      <c r="E828" s="60">
        <v>30.0</v>
      </c>
      <c r="F828" s="72">
        <v>3000.0</v>
      </c>
      <c r="G828" s="73" t="s">
        <v>53</v>
      </c>
      <c r="H828" s="74">
        <v>46174.0</v>
      </c>
      <c r="I828" s="67" t="s">
        <v>17</v>
      </c>
      <c r="J828" s="67" t="s">
        <v>54</v>
      </c>
      <c r="K828" s="67" t="s">
        <v>66</v>
      </c>
      <c r="L828" s="67" t="s">
        <v>67</v>
      </c>
      <c r="M828" s="73" t="s">
        <v>132</v>
      </c>
      <c r="N828" s="67" t="s">
        <v>20</v>
      </c>
      <c r="O828" s="59" t="s">
        <v>69</v>
      </c>
      <c r="P828" s="59"/>
      <c r="Q828" s="59" t="s">
        <v>835</v>
      </c>
      <c r="R828" s="76" t="s">
        <v>323</v>
      </c>
      <c r="S828" s="59"/>
      <c r="T828" s="59"/>
      <c r="U828" s="77" t="str">
        <f t="array" ref="U828">IFERROR(INDEX(DFD!$D$2:$D$1048791,MATCH($Q828,DFD!$B$2:$B$1048791,0)),"")</f>
        <v/>
      </c>
      <c r="V828" s="77" t="str">
        <f t="array" ref="V828">IFERROR(INDEX(DFD!$F$2:$F$1048791,MATCH($Q828,DFD!$B$2:$B$1048791,0)),"")</f>
        <v/>
      </c>
      <c r="W828" s="84" t="str">
        <f t="array" ref="W828">IFERROR(INDEX(DFD!$E$2:$E$1048791,MATCH($Q828,DFD!$B$2:$B$1048791,0)),"")</f>
        <v/>
      </c>
      <c r="X828" s="84" t="str">
        <f t="array" ref="X828">IFERROR(INDEX(DFD!$K$2:$K$1048791,MATCH($Q828,DFD!$B$2:$B$1048791,0)),"")</f>
        <v/>
      </c>
      <c r="Y828" s="84" t="str">
        <f t="array" ref="Y828">IFERROR(INDEX(DFD!$L$2:$L$1048790,MATCH($Q828,DFD!$B$2:$B$1048790,0)),"")</f>
        <v/>
      </c>
      <c r="Z828" s="84">
        <f t="shared" ref="Z828:Z831" si="16">Y828+45</f>
        <v>45</v>
      </c>
      <c r="AA828" s="59"/>
      <c r="AB828" s="59" t="s">
        <v>78</v>
      </c>
      <c r="AC828" s="59"/>
      <c r="AD828" s="85">
        <v>46043.0</v>
      </c>
      <c r="AE828" s="86">
        <f t="shared" si="15"/>
        <v>1</v>
      </c>
    </row>
    <row r="829" ht="15.75" customHeight="1">
      <c r="A829" s="92" t="s">
        <v>2293</v>
      </c>
      <c r="B829" s="87" t="s">
        <v>386</v>
      </c>
      <c r="C829" s="88" t="s">
        <v>2294</v>
      </c>
      <c r="D829" s="88" t="s">
        <v>51</v>
      </c>
      <c r="E829" s="88">
        <v>1.0</v>
      </c>
      <c r="F829" s="89">
        <v>5000.0</v>
      </c>
      <c r="G829" s="90" t="s">
        <v>53</v>
      </c>
      <c r="H829" s="91">
        <v>46204.0</v>
      </c>
      <c r="I829" s="92" t="s">
        <v>17</v>
      </c>
      <c r="J829" s="92" t="s">
        <v>54</v>
      </c>
      <c r="K829" s="92" t="s">
        <v>66</v>
      </c>
      <c r="L829" s="92" t="s">
        <v>67</v>
      </c>
      <c r="M829" s="90" t="s">
        <v>68</v>
      </c>
      <c r="N829" s="92" t="s">
        <v>20</v>
      </c>
      <c r="O829" s="92" t="s">
        <v>89</v>
      </c>
      <c r="P829" s="87"/>
      <c r="Q829" s="87" t="s">
        <v>835</v>
      </c>
      <c r="R829" s="93" t="s">
        <v>323</v>
      </c>
      <c r="S829" s="87"/>
      <c r="T829" s="87"/>
      <c r="U829" s="94" t="str">
        <f t="array" ref="U829">IFERROR(INDEX(DFD!$D$2:$D$1048791,MATCH($Q829,DFD!$B$2:$B$1048791,0)),"")</f>
        <v/>
      </c>
      <c r="V829" s="94" t="str">
        <f t="array" ref="V829">IFERROR(INDEX(DFD!$F$2:$F$1048791,MATCH($Q829,DFD!$B$2:$B$1048791,0)),"")</f>
        <v/>
      </c>
      <c r="W829" s="97" t="str">
        <f t="array" ref="W829">IFERROR(INDEX(DFD!$E$2:$E$1048791,MATCH($Q829,DFD!$B$2:$B$1048791,0)),"")</f>
        <v/>
      </c>
      <c r="X829" s="97" t="str">
        <f t="array" ref="X829">IFERROR(INDEX(DFD!$K$2:$K$1048791,MATCH($Q829,DFD!$B$2:$B$1048791,0)),"")</f>
        <v/>
      </c>
      <c r="Y829" s="97" t="str">
        <f t="array" ref="Y829">IFERROR(INDEX(DFD!$L$2:$L$1048790,MATCH($Q829,DFD!$B$2:$B$1048790,0)),"")</f>
        <v/>
      </c>
      <c r="Z829" s="97">
        <f t="shared" si="16"/>
        <v>45</v>
      </c>
      <c r="AA829" s="87"/>
      <c r="AB829" s="87" t="s">
        <v>78</v>
      </c>
      <c r="AC829" s="87"/>
      <c r="AD829" s="99">
        <v>46043.0</v>
      </c>
      <c r="AE829" s="100">
        <f t="shared" si="15"/>
        <v>1</v>
      </c>
    </row>
    <row r="830" ht="15.75" customHeight="1">
      <c r="A830" s="67" t="s">
        <v>2295</v>
      </c>
      <c r="B830" s="59" t="s">
        <v>184</v>
      </c>
      <c r="C830" s="60" t="s">
        <v>2296</v>
      </c>
      <c r="D830" s="60" t="s">
        <v>51</v>
      </c>
      <c r="E830" s="60">
        <v>120.0</v>
      </c>
      <c r="F830" s="72">
        <v>1800.0</v>
      </c>
      <c r="G830" s="73" t="s">
        <v>53</v>
      </c>
      <c r="H830" s="74">
        <v>46174.0</v>
      </c>
      <c r="I830" s="67" t="s">
        <v>17</v>
      </c>
      <c r="J830" s="67" t="s">
        <v>54</v>
      </c>
      <c r="K830" s="67" t="s">
        <v>66</v>
      </c>
      <c r="L830" s="67" t="s">
        <v>67</v>
      </c>
      <c r="M830" s="73" t="s">
        <v>117</v>
      </c>
      <c r="N830" s="67" t="s">
        <v>20</v>
      </c>
      <c r="O830" s="59" t="s">
        <v>69</v>
      </c>
      <c r="P830" s="59"/>
      <c r="Q830" s="59" t="s">
        <v>191</v>
      </c>
      <c r="R830" s="76" t="s">
        <v>187</v>
      </c>
      <c r="S830" s="59"/>
      <c r="T830" s="59"/>
      <c r="U830" s="77" t="str">
        <f t="array" ref="U830">IFERROR(INDEX(DFD!$D$2:$D$1048791,MATCH($Q830,DFD!$B$2:$B$1048791,0)),"")</f>
        <v/>
      </c>
      <c r="V830" s="77" t="str">
        <f t="array" ref="V830">IFERROR(INDEX(DFD!$F$2:$F$1048791,MATCH($Q830,DFD!$B$2:$B$1048791,0)),"")</f>
        <v/>
      </c>
      <c r="W830" s="84" t="str">
        <f t="array" ref="W830">IFERROR(INDEX(DFD!$E$2:$E$1048791,MATCH($Q830,DFD!$B$2:$B$1048791,0)),"")</f>
        <v/>
      </c>
      <c r="X830" s="84" t="str">
        <f t="array" ref="X830">IFERROR(INDEX(DFD!$K$2:$K$1048791,MATCH($Q830,DFD!$B$2:$B$1048791,0)),"")</f>
        <v/>
      </c>
      <c r="Y830" s="84" t="str">
        <f t="array" ref="Y830">IFERROR(INDEX(DFD!$L$2:$L$1048790,MATCH($Q830,DFD!$B$2:$B$1048790,0)),"")</f>
        <v/>
      </c>
      <c r="Z830" s="84">
        <f t="shared" si="16"/>
        <v>45</v>
      </c>
      <c r="AA830" s="59"/>
      <c r="AB830" s="59" t="s">
        <v>78</v>
      </c>
      <c r="AC830" s="59"/>
      <c r="AD830" s="85">
        <v>46043.0</v>
      </c>
      <c r="AE830" s="86">
        <f t="shared" si="15"/>
        <v>1</v>
      </c>
    </row>
    <row r="831" ht="15.75" customHeight="1">
      <c r="A831" s="87" t="s">
        <v>2297</v>
      </c>
      <c r="B831" s="87" t="s">
        <v>148</v>
      </c>
      <c r="C831" s="88" t="s">
        <v>2298</v>
      </c>
      <c r="D831" s="88" t="s">
        <v>2299</v>
      </c>
      <c r="E831" s="88">
        <v>5.0</v>
      </c>
      <c r="F831" s="89">
        <v>3990.0</v>
      </c>
      <c r="G831" s="90" t="s">
        <v>53</v>
      </c>
      <c r="H831" s="91">
        <v>46204.0</v>
      </c>
      <c r="I831" s="92" t="s">
        <v>17</v>
      </c>
      <c r="J831" s="92" t="s">
        <v>54</v>
      </c>
      <c r="K831" s="92" t="s">
        <v>66</v>
      </c>
      <c r="L831" s="92" t="s">
        <v>67</v>
      </c>
      <c r="M831" s="90" t="s">
        <v>104</v>
      </c>
      <c r="N831" s="92" t="s">
        <v>5</v>
      </c>
      <c r="O831" s="87" t="s">
        <v>69</v>
      </c>
      <c r="P831" s="87"/>
      <c r="Q831" s="87" t="s">
        <v>331</v>
      </c>
      <c r="R831" s="93" t="s">
        <v>269</v>
      </c>
      <c r="S831" s="87"/>
      <c r="T831" s="87"/>
      <c r="U831" s="94" t="str">
        <f t="array" ref="U831">IFERROR(INDEX(DFD!$D$2:$D$1048791,MATCH($Q831,DFD!$B$2:$B$1048791,0)),"")</f>
        <v/>
      </c>
      <c r="V831" s="94" t="str">
        <f t="array" ref="V831">IFERROR(INDEX(DFD!$F$2:$F$1048791,MATCH($Q831,DFD!$B$2:$B$1048791,0)),"")</f>
        <v/>
      </c>
      <c r="W831" s="97" t="str">
        <f t="array" ref="W831">IFERROR(INDEX(DFD!$E$2:$E$1048791,MATCH($Q831,DFD!$B$2:$B$1048791,0)),"")</f>
        <v/>
      </c>
      <c r="X831" s="97" t="str">
        <f t="array" ref="X831">IFERROR(INDEX(DFD!$K$2:$K$1048791,MATCH($Q831,DFD!$B$2:$B$1048791,0)),"")</f>
        <v/>
      </c>
      <c r="Y831" s="97" t="str">
        <f t="array" ref="Y831">IFERROR(INDEX(DFD!$L$2:$L$1048790,MATCH($Q831,DFD!$B$2:$B$1048790,0)),"")</f>
        <v/>
      </c>
      <c r="Z831" s="97">
        <f t="shared" si="16"/>
        <v>45</v>
      </c>
      <c r="AA831" s="87"/>
      <c r="AB831" s="87" t="s">
        <v>78</v>
      </c>
      <c r="AC831" s="87"/>
      <c r="AD831" s="99">
        <v>46043.0</v>
      </c>
      <c r="AE831" s="100">
        <f t="shared" si="15"/>
        <v>1</v>
      </c>
    </row>
    <row r="832" ht="15.75" customHeight="1">
      <c r="A832" s="59" t="s">
        <v>2300</v>
      </c>
      <c r="B832" s="59" t="s">
        <v>52</v>
      </c>
      <c r="C832" s="60" t="s">
        <v>2301</v>
      </c>
      <c r="D832" s="60" t="s">
        <v>51</v>
      </c>
      <c r="E832" s="60">
        <v>1.0</v>
      </c>
      <c r="F832" s="72">
        <v>5950.0</v>
      </c>
      <c r="G832" s="73" t="s">
        <v>53</v>
      </c>
      <c r="H832" s="74">
        <v>46174.0</v>
      </c>
      <c r="I832" s="67" t="s">
        <v>17</v>
      </c>
      <c r="J832" s="67" t="s">
        <v>54</v>
      </c>
      <c r="K832" s="67" t="s">
        <v>161</v>
      </c>
      <c r="L832" s="67" t="s">
        <v>67</v>
      </c>
      <c r="M832" s="73" t="s">
        <v>132</v>
      </c>
      <c r="N832" s="67" t="s">
        <v>58</v>
      </c>
      <c r="O832" s="67" t="s">
        <v>89</v>
      </c>
      <c r="P832" s="59"/>
      <c r="Q832" s="59" t="s">
        <v>52</v>
      </c>
      <c r="R832" s="76" t="s">
        <v>2301</v>
      </c>
      <c r="S832" s="59"/>
      <c r="T832" s="59"/>
      <c r="U832" s="77"/>
      <c r="V832" s="77"/>
      <c r="W832" s="84"/>
      <c r="X832" s="84"/>
      <c r="Y832" s="84"/>
      <c r="Z832" s="84"/>
      <c r="AA832" s="59"/>
      <c r="AB832" s="59" t="s">
        <v>72</v>
      </c>
      <c r="AC832" s="59"/>
      <c r="AD832" s="85">
        <v>46043.0</v>
      </c>
      <c r="AE832" s="86">
        <f t="shared" si="15"/>
        <v>1</v>
      </c>
    </row>
    <row r="833" ht="15.75" hidden="1" customHeight="1">
      <c r="A833" s="92" t="s">
        <v>2302</v>
      </c>
      <c r="B833" s="87" t="s">
        <v>162</v>
      </c>
      <c r="C833" s="88" t="s">
        <v>2303</v>
      </c>
      <c r="D833" s="88" t="s">
        <v>51</v>
      </c>
      <c r="E833" s="88">
        <v>1.0</v>
      </c>
      <c r="F833" s="89">
        <v>100000.0</v>
      </c>
      <c r="G833" s="90" t="s">
        <v>53</v>
      </c>
      <c r="H833" s="91">
        <v>46266.0</v>
      </c>
      <c r="I833" s="92" t="s">
        <v>17</v>
      </c>
      <c r="J833" s="92" t="s">
        <v>54</v>
      </c>
      <c r="K833" s="92" t="s">
        <v>55</v>
      </c>
      <c r="L833" s="92" t="s">
        <v>56</v>
      </c>
      <c r="M833" s="90" t="s">
        <v>104</v>
      </c>
      <c r="N833" s="92" t="s">
        <v>20</v>
      </c>
      <c r="O833" s="87" t="s">
        <v>69</v>
      </c>
      <c r="P833" s="87"/>
      <c r="Q833" s="87" t="s">
        <v>2304</v>
      </c>
      <c r="R833" s="93" t="s">
        <v>647</v>
      </c>
      <c r="S833" s="87"/>
      <c r="T833" s="87"/>
      <c r="U833" s="94" t="s">
        <v>2305</v>
      </c>
      <c r="V833" s="94" t="str">
        <f t="array" ref="V833">IFERROR(INDEX(DFD!$F$2:$F$1048791,MATCH($Q833,DFD!$B$2:$B$1048791,0)),"")</f>
        <v/>
      </c>
      <c r="W833" s="97" t="str">
        <f t="array" ref="W833">IFERROR(INDEX(DFD!$E$2:$E$1048791,MATCH($Q833,DFD!$B$2:$B$1048791,0)),"")</f>
        <v/>
      </c>
      <c r="X833" s="97" t="str">
        <f t="array" ref="X833">IFERROR(INDEX(DFD!$K$2:$K$1048791,MATCH($Q833,DFD!$B$2:$B$1048791,0)),"")</f>
        <v/>
      </c>
      <c r="Y833" s="97" t="str">
        <f t="array" ref="Y833">IFERROR(INDEX(DFD!$L$2:$L$1048790,MATCH($Q833,DFD!$B$2:$B$1048790,0)),"")</f>
        <v/>
      </c>
      <c r="Z833" s="97">
        <f t="shared" ref="Z833:Z854" si="17">Y833+45</f>
        <v>45</v>
      </c>
      <c r="AA833" s="87"/>
      <c r="AB833" s="87" t="s">
        <v>78</v>
      </c>
      <c r="AC833" s="87"/>
      <c r="AD833" s="99">
        <v>46043.0</v>
      </c>
      <c r="AE833" s="100">
        <f t="shared" si="15"/>
        <v>0</v>
      </c>
    </row>
    <row r="834" ht="15.75" customHeight="1">
      <c r="A834" s="59" t="s">
        <v>2306</v>
      </c>
      <c r="B834" s="59" t="s">
        <v>101</v>
      </c>
      <c r="C834" s="60" t="s">
        <v>2307</v>
      </c>
      <c r="D834" s="60" t="s">
        <v>51</v>
      </c>
      <c r="E834" s="60">
        <v>15.0</v>
      </c>
      <c r="F834" s="72">
        <v>1425.0</v>
      </c>
      <c r="G834" s="73" t="s">
        <v>53</v>
      </c>
      <c r="H834" s="74">
        <v>46174.0</v>
      </c>
      <c r="I834" s="67" t="s">
        <v>17</v>
      </c>
      <c r="J834" s="67" t="s">
        <v>54</v>
      </c>
      <c r="K834" s="67" t="s">
        <v>66</v>
      </c>
      <c r="L834" s="67" t="s">
        <v>56</v>
      </c>
      <c r="M834" s="73" t="s">
        <v>112</v>
      </c>
      <c r="N834" s="67" t="s">
        <v>58</v>
      </c>
      <c r="O834" s="59" t="s">
        <v>69</v>
      </c>
      <c r="P834" s="59"/>
      <c r="Q834" s="59" t="s">
        <v>1569</v>
      </c>
      <c r="R834" s="76" t="s">
        <v>269</v>
      </c>
      <c r="S834" s="59"/>
      <c r="T834" s="59"/>
      <c r="U834" s="77" t="str">
        <f t="array" ref="U834">IFERROR(INDEX(DFD!$D$2:$D$1048791,MATCH($Q834,DFD!$B$2:$B$1048791,0)),"")</f>
        <v/>
      </c>
      <c r="V834" s="77" t="str">
        <f t="array" ref="V834">IFERROR(INDEX(DFD!$F$2:$F$1048791,MATCH($Q834,DFD!$B$2:$B$1048791,0)),"")</f>
        <v/>
      </c>
      <c r="W834" s="84" t="str">
        <f t="array" ref="W834">IFERROR(INDEX(DFD!$E$2:$E$1048791,MATCH($Q834,DFD!$B$2:$B$1048791,0)),"")</f>
        <v/>
      </c>
      <c r="X834" s="84" t="str">
        <f t="array" ref="X834">IFERROR(INDEX(DFD!$K$2:$K$1048791,MATCH($Q834,DFD!$B$2:$B$1048791,0)),"")</f>
        <v/>
      </c>
      <c r="Y834" s="84" t="str">
        <f t="array" ref="Y834">IFERROR(INDEX(DFD!$L$2:$L$1048790,MATCH($Q834,DFD!$B$2:$B$1048790,0)),"")</f>
        <v/>
      </c>
      <c r="Z834" s="84">
        <f t="shared" si="17"/>
        <v>45</v>
      </c>
      <c r="AA834" s="59"/>
      <c r="AB834" s="59" t="s">
        <v>78</v>
      </c>
      <c r="AC834" s="59"/>
      <c r="AD834" s="85">
        <v>46043.0</v>
      </c>
      <c r="AE834" s="86">
        <f t="shared" si="15"/>
        <v>1</v>
      </c>
    </row>
    <row r="835" ht="15.75" customHeight="1">
      <c r="A835" s="92" t="s">
        <v>2308</v>
      </c>
      <c r="B835" s="87" t="s">
        <v>184</v>
      </c>
      <c r="C835" s="88" t="s">
        <v>2309</v>
      </c>
      <c r="D835" s="88" t="s">
        <v>51</v>
      </c>
      <c r="E835" s="88">
        <v>100.0</v>
      </c>
      <c r="F835" s="89">
        <v>10000.0</v>
      </c>
      <c r="G835" s="90" t="s">
        <v>53</v>
      </c>
      <c r="H835" s="91">
        <v>46204.0</v>
      </c>
      <c r="I835" s="92" t="s">
        <v>17</v>
      </c>
      <c r="J835" s="92" t="s">
        <v>54</v>
      </c>
      <c r="K835" s="92" t="s">
        <v>66</v>
      </c>
      <c r="L835" s="92" t="s">
        <v>67</v>
      </c>
      <c r="M835" s="90" t="s">
        <v>112</v>
      </c>
      <c r="N835" s="92" t="s">
        <v>20</v>
      </c>
      <c r="O835" s="92" t="s">
        <v>89</v>
      </c>
      <c r="P835" s="87"/>
      <c r="Q835" s="87" t="s">
        <v>1569</v>
      </c>
      <c r="R835" s="93" t="s">
        <v>269</v>
      </c>
      <c r="S835" s="87"/>
      <c r="T835" s="87"/>
      <c r="U835" s="94" t="str">
        <f t="array" ref="U835">IFERROR(INDEX(DFD!$D$2:$D$1048791,MATCH($Q835,DFD!$B$2:$B$1048791,0)),"")</f>
        <v/>
      </c>
      <c r="V835" s="94" t="str">
        <f t="array" ref="V835">IFERROR(INDEX(DFD!$F$2:$F$1048791,MATCH($Q835,DFD!$B$2:$B$1048791,0)),"")</f>
        <v/>
      </c>
      <c r="W835" s="97" t="str">
        <f t="array" ref="W835">IFERROR(INDEX(DFD!$E$2:$E$1048791,MATCH($Q835,DFD!$B$2:$B$1048791,0)),"")</f>
        <v/>
      </c>
      <c r="X835" s="97" t="str">
        <f t="array" ref="X835">IFERROR(INDEX(DFD!$K$2:$K$1048791,MATCH($Q835,DFD!$B$2:$B$1048791,0)),"")</f>
        <v/>
      </c>
      <c r="Y835" s="97" t="str">
        <f t="array" ref="Y835">IFERROR(INDEX(DFD!$L$2:$L$1048790,MATCH($Q835,DFD!$B$2:$B$1048790,0)),"")</f>
        <v/>
      </c>
      <c r="Z835" s="97">
        <f t="shared" si="17"/>
        <v>45</v>
      </c>
      <c r="AA835" s="87"/>
      <c r="AB835" s="87" t="s">
        <v>78</v>
      </c>
      <c r="AC835" s="87"/>
      <c r="AD835" s="99">
        <v>46043.0</v>
      </c>
      <c r="AE835" s="100">
        <f t="shared" si="15"/>
        <v>1</v>
      </c>
    </row>
    <row r="836" ht="15.75" customHeight="1">
      <c r="A836" s="59" t="s">
        <v>2310</v>
      </c>
      <c r="B836" s="59" t="s">
        <v>101</v>
      </c>
      <c r="C836" s="60" t="s">
        <v>2311</v>
      </c>
      <c r="D836" s="60" t="s">
        <v>51</v>
      </c>
      <c r="E836" s="60">
        <v>2.0</v>
      </c>
      <c r="F836" s="72">
        <v>168.0</v>
      </c>
      <c r="G836" s="73" t="s">
        <v>53</v>
      </c>
      <c r="H836" s="74">
        <v>46143.0</v>
      </c>
      <c r="I836" s="67" t="s">
        <v>17</v>
      </c>
      <c r="J836" s="67" t="s">
        <v>54</v>
      </c>
      <c r="K836" s="67" t="s">
        <v>66</v>
      </c>
      <c r="L836" s="67" t="s">
        <v>56</v>
      </c>
      <c r="M836" s="73" t="s">
        <v>104</v>
      </c>
      <c r="N836" s="67" t="s">
        <v>58</v>
      </c>
      <c r="O836" s="59" t="s">
        <v>69</v>
      </c>
      <c r="P836" s="59"/>
      <c r="Q836" s="59" t="s">
        <v>180</v>
      </c>
      <c r="R836" s="76" t="s">
        <v>181</v>
      </c>
      <c r="S836" s="59"/>
      <c r="T836" s="59"/>
      <c r="U836" s="77" t="str">
        <f t="array" ref="U836">IFERROR(INDEX(DFD!$D$2:$D$1048791,MATCH($Q836,DFD!$B$2:$B$1048791,0)),"")</f>
        <v/>
      </c>
      <c r="V836" s="77" t="str">
        <f t="array" ref="V836">IFERROR(INDEX(DFD!$F$2:$F$1048791,MATCH($Q836,DFD!$B$2:$B$1048791,0)),"")</f>
        <v/>
      </c>
      <c r="W836" s="84" t="str">
        <f t="array" ref="W836">IFERROR(INDEX(DFD!$E$2:$E$1048791,MATCH($Q836,DFD!$B$2:$B$1048791,0)),"")</f>
        <v/>
      </c>
      <c r="X836" s="84" t="str">
        <f t="array" ref="X836">IFERROR(INDEX(DFD!$K$2:$K$1048791,MATCH($Q836,DFD!$B$2:$B$1048791,0)),"")</f>
        <v/>
      </c>
      <c r="Y836" s="84" t="str">
        <f t="array" ref="Y836">IFERROR(INDEX(DFD!$L$2:$L$1048790,MATCH($Q836,DFD!$B$2:$B$1048790,0)),"")</f>
        <v/>
      </c>
      <c r="Z836" s="84">
        <f t="shared" si="17"/>
        <v>45</v>
      </c>
      <c r="AA836" s="59"/>
      <c r="AB836" s="59" t="s">
        <v>78</v>
      </c>
      <c r="AC836" s="59"/>
      <c r="AD836" s="85">
        <v>46043.0</v>
      </c>
      <c r="AE836" s="86">
        <f t="shared" si="15"/>
        <v>1</v>
      </c>
    </row>
    <row r="837" ht="15.75" customHeight="1">
      <c r="A837" s="92" t="s">
        <v>2312</v>
      </c>
      <c r="B837" s="87" t="s">
        <v>184</v>
      </c>
      <c r="C837" s="88" t="s">
        <v>2313</v>
      </c>
      <c r="D837" s="88" t="s">
        <v>51</v>
      </c>
      <c r="E837" s="88">
        <v>50.0</v>
      </c>
      <c r="F837" s="89">
        <v>1250.0</v>
      </c>
      <c r="G837" s="90" t="s">
        <v>53</v>
      </c>
      <c r="H837" s="91">
        <v>46174.0</v>
      </c>
      <c r="I837" s="92" t="s">
        <v>17</v>
      </c>
      <c r="J837" s="92" t="s">
        <v>54</v>
      </c>
      <c r="K837" s="92" t="s">
        <v>66</v>
      </c>
      <c r="L837" s="92" t="s">
        <v>67</v>
      </c>
      <c r="M837" s="90" t="s">
        <v>68</v>
      </c>
      <c r="N837" s="92" t="s">
        <v>20</v>
      </c>
      <c r="O837" s="87" t="s">
        <v>69</v>
      </c>
      <c r="P837" s="87"/>
      <c r="Q837" s="87" t="s">
        <v>1399</v>
      </c>
      <c r="R837" s="93" t="s">
        <v>187</v>
      </c>
      <c r="S837" s="87"/>
      <c r="T837" s="87"/>
      <c r="U837" s="94" t="str">
        <f t="array" ref="U837">IFERROR(INDEX(DFD!$D$2:$D$1048791,MATCH($Q837,DFD!$B$2:$B$1048791,0)),"")</f>
        <v/>
      </c>
      <c r="V837" s="94" t="str">
        <f t="array" ref="V837">IFERROR(INDEX(DFD!$F$2:$F$1048791,MATCH($Q837,DFD!$B$2:$B$1048791,0)),"")</f>
        <v/>
      </c>
      <c r="W837" s="97" t="str">
        <f t="array" ref="W837">IFERROR(INDEX(DFD!$E$2:$E$1048791,MATCH($Q837,DFD!$B$2:$B$1048791,0)),"")</f>
        <v/>
      </c>
      <c r="X837" s="97" t="str">
        <f t="array" ref="X837">IFERROR(INDEX(DFD!$K$2:$K$1048791,MATCH($Q837,DFD!$B$2:$B$1048791,0)),"")</f>
        <v/>
      </c>
      <c r="Y837" s="97" t="str">
        <f t="array" ref="Y837">IFERROR(INDEX(DFD!$L$2:$L$1048790,MATCH($Q837,DFD!$B$2:$B$1048790,0)),"")</f>
        <v/>
      </c>
      <c r="Z837" s="97">
        <f t="shared" si="17"/>
        <v>45</v>
      </c>
      <c r="AA837" s="87"/>
      <c r="AB837" s="87" t="s">
        <v>78</v>
      </c>
      <c r="AC837" s="87"/>
      <c r="AD837" s="99">
        <v>46043.0</v>
      </c>
      <c r="AE837" s="100">
        <f t="shared" si="15"/>
        <v>1</v>
      </c>
    </row>
    <row r="838" ht="15.75" customHeight="1">
      <c r="A838" s="59" t="s">
        <v>2314</v>
      </c>
      <c r="B838" s="59" t="s">
        <v>101</v>
      </c>
      <c r="C838" s="60" t="s">
        <v>2315</v>
      </c>
      <c r="D838" s="60" t="s">
        <v>51</v>
      </c>
      <c r="E838" s="60">
        <v>2.0</v>
      </c>
      <c r="F838" s="72">
        <v>3000.0</v>
      </c>
      <c r="G838" s="73" t="s">
        <v>53</v>
      </c>
      <c r="H838" s="74">
        <v>46174.0</v>
      </c>
      <c r="I838" s="67" t="s">
        <v>17</v>
      </c>
      <c r="J838" s="67" t="s">
        <v>54</v>
      </c>
      <c r="K838" s="67" t="s">
        <v>66</v>
      </c>
      <c r="L838" s="67" t="s">
        <v>56</v>
      </c>
      <c r="M838" s="73" t="s">
        <v>132</v>
      </c>
      <c r="N838" s="67" t="s">
        <v>58</v>
      </c>
      <c r="O838" s="67" t="s">
        <v>89</v>
      </c>
      <c r="P838" s="59"/>
      <c r="Q838" s="59" t="s">
        <v>275</v>
      </c>
      <c r="R838" s="76" t="s">
        <v>2316</v>
      </c>
      <c r="S838" s="59"/>
      <c r="T838" s="59"/>
      <c r="U838" s="77" t="str">
        <f t="array" ref="U838">IFERROR(INDEX(DFD!$D$2:$D$1048791,MATCH($Q838,DFD!$B$2:$B$1048791,0)),"")</f>
        <v/>
      </c>
      <c r="V838" s="77" t="str">
        <f t="array" ref="V838">IFERROR(INDEX(DFD!$F$2:$F$1048791,MATCH($Q838,DFD!$B$2:$B$1048791,0)),"")</f>
        <v/>
      </c>
      <c r="W838" s="84" t="str">
        <f t="array" ref="W838">IFERROR(INDEX(DFD!$E$2:$E$1048791,MATCH($Q838,DFD!$B$2:$B$1048791,0)),"")</f>
        <v/>
      </c>
      <c r="X838" s="84" t="str">
        <f t="array" ref="X838">IFERROR(INDEX(DFD!$K$2:$K$1048791,MATCH($Q838,DFD!$B$2:$B$1048791,0)),"")</f>
        <v/>
      </c>
      <c r="Y838" s="84" t="str">
        <f t="array" ref="Y838">IFERROR(INDEX(DFD!$L$2:$L$1048790,MATCH($Q838,DFD!$B$2:$B$1048790,0)),"")</f>
        <v/>
      </c>
      <c r="Z838" s="84">
        <f t="shared" si="17"/>
        <v>45</v>
      </c>
      <c r="AA838" s="59"/>
      <c r="AB838" s="59" t="s">
        <v>78</v>
      </c>
      <c r="AC838" s="59"/>
      <c r="AD838" s="85">
        <v>46043.0</v>
      </c>
      <c r="AE838" s="86">
        <f t="shared" si="15"/>
        <v>1</v>
      </c>
    </row>
    <row r="839" ht="15.75" customHeight="1">
      <c r="A839" s="87" t="s">
        <v>2317</v>
      </c>
      <c r="B839" s="87" t="s">
        <v>123</v>
      </c>
      <c r="C839" s="88" t="s">
        <v>2318</v>
      </c>
      <c r="D839" s="88" t="s">
        <v>51</v>
      </c>
      <c r="E839" s="88">
        <v>2.0</v>
      </c>
      <c r="F839" s="89">
        <v>380.0</v>
      </c>
      <c r="G839" s="90" t="s">
        <v>53</v>
      </c>
      <c r="H839" s="91">
        <v>46174.0</v>
      </c>
      <c r="I839" s="92" t="s">
        <v>17</v>
      </c>
      <c r="J839" s="92" t="s">
        <v>54</v>
      </c>
      <c r="K839" s="92" t="s">
        <v>66</v>
      </c>
      <c r="L839" s="92" t="s">
        <v>67</v>
      </c>
      <c r="M839" s="90" t="s">
        <v>68</v>
      </c>
      <c r="N839" s="92" t="s">
        <v>5</v>
      </c>
      <c r="O839" s="87" t="s">
        <v>69</v>
      </c>
      <c r="P839" s="87"/>
      <c r="Q839" s="87" t="s">
        <v>576</v>
      </c>
      <c r="R839" s="93" t="s">
        <v>577</v>
      </c>
      <c r="S839" s="87"/>
      <c r="T839" s="87"/>
      <c r="U839" s="94" t="str">
        <f t="array" ref="U839">IFERROR(INDEX(DFD!$D$2:$D$1048791,MATCH($Q839,DFD!$B$2:$B$1048791,0)),"")</f>
        <v/>
      </c>
      <c r="V839" s="94" t="s">
        <v>280</v>
      </c>
      <c r="W839" s="97" t="str">
        <f t="array" ref="W839">IFERROR(INDEX(DFD!$E$2:$E$1048791,MATCH($Q839,DFD!$B$2:$B$1048791,0)),"")</f>
        <v/>
      </c>
      <c r="X839" s="97" t="str">
        <f t="array" ref="X839">IFERROR(INDEX(DFD!$K$2:$K$1048791,MATCH($Q839,DFD!$B$2:$B$1048791,0)),"")</f>
        <v/>
      </c>
      <c r="Y839" s="97" t="str">
        <f t="array" ref="Y839">IFERROR(INDEX(DFD!$L$2:$L$1048790,MATCH($Q839,DFD!$B$2:$B$1048790,0)),"")</f>
        <v/>
      </c>
      <c r="Z839" s="97">
        <f t="shared" si="17"/>
        <v>45</v>
      </c>
      <c r="AA839" s="87"/>
      <c r="AB839" s="87" t="s">
        <v>78</v>
      </c>
      <c r="AC839" s="87"/>
      <c r="AD839" s="99">
        <v>46043.0</v>
      </c>
      <c r="AE839" s="100">
        <f t="shared" si="15"/>
        <v>1</v>
      </c>
    </row>
    <row r="840" ht="15.75" customHeight="1">
      <c r="A840" s="59" t="s">
        <v>2319</v>
      </c>
      <c r="B840" s="59" t="s">
        <v>107</v>
      </c>
      <c r="C840" s="60" t="s">
        <v>2318</v>
      </c>
      <c r="D840" s="60" t="s">
        <v>51</v>
      </c>
      <c r="E840" s="60">
        <v>2.0</v>
      </c>
      <c r="F840" s="72">
        <v>380.0</v>
      </c>
      <c r="G840" s="73" t="s">
        <v>53</v>
      </c>
      <c r="H840" s="74">
        <v>46174.0</v>
      </c>
      <c r="I840" s="67" t="s">
        <v>17</v>
      </c>
      <c r="J840" s="67" t="s">
        <v>54</v>
      </c>
      <c r="K840" s="67" t="s">
        <v>66</v>
      </c>
      <c r="L840" s="67" t="s">
        <v>67</v>
      </c>
      <c r="M840" s="73" t="s">
        <v>68</v>
      </c>
      <c r="N840" s="67" t="s">
        <v>5</v>
      </c>
      <c r="O840" s="59" t="s">
        <v>69</v>
      </c>
      <c r="P840" s="59"/>
      <c r="Q840" s="59" t="s">
        <v>576</v>
      </c>
      <c r="R840" s="76" t="s">
        <v>577</v>
      </c>
      <c r="S840" s="59"/>
      <c r="T840" s="59"/>
      <c r="U840" s="77" t="str">
        <f t="array" ref="U840">IFERROR(INDEX(DFD!$D$2:$D$1048791,MATCH($Q840,DFD!$B$2:$B$1048791,0)),"")</f>
        <v/>
      </c>
      <c r="V840" s="77" t="s">
        <v>280</v>
      </c>
      <c r="W840" s="84" t="str">
        <f t="array" ref="W840">IFERROR(INDEX(DFD!$E$2:$E$1048791,MATCH($Q840,DFD!$B$2:$B$1048791,0)),"")</f>
        <v/>
      </c>
      <c r="X840" s="84" t="str">
        <f t="array" ref="X840">IFERROR(INDEX(DFD!$K$2:$K$1048791,MATCH($Q840,DFD!$B$2:$B$1048791,0)),"")</f>
        <v/>
      </c>
      <c r="Y840" s="84" t="str">
        <f t="array" ref="Y840">IFERROR(INDEX(DFD!$L$2:$L$1048790,MATCH($Q840,DFD!$B$2:$B$1048790,0)),"")</f>
        <v/>
      </c>
      <c r="Z840" s="84">
        <f t="shared" si="17"/>
        <v>45</v>
      </c>
      <c r="AA840" s="59"/>
      <c r="AB840" s="59" t="s">
        <v>78</v>
      </c>
      <c r="AC840" s="59"/>
      <c r="AD840" s="85">
        <v>46043.0</v>
      </c>
      <c r="AE840" s="86">
        <f t="shared" si="15"/>
        <v>1</v>
      </c>
    </row>
    <row r="841" ht="15.75" customHeight="1">
      <c r="A841" s="87" t="s">
        <v>2320</v>
      </c>
      <c r="B841" s="87" t="s">
        <v>148</v>
      </c>
      <c r="C841" s="88" t="s">
        <v>2321</v>
      </c>
      <c r="D841" s="88" t="s">
        <v>51</v>
      </c>
      <c r="E841" s="88">
        <v>1.0</v>
      </c>
      <c r="F841" s="89">
        <v>500.0</v>
      </c>
      <c r="G841" s="90" t="s">
        <v>53</v>
      </c>
      <c r="H841" s="91">
        <v>46174.0</v>
      </c>
      <c r="I841" s="92" t="s">
        <v>17</v>
      </c>
      <c r="J841" s="92" t="s">
        <v>54</v>
      </c>
      <c r="K841" s="92" t="s">
        <v>66</v>
      </c>
      <c r="L841" s="92" t="s">
        <v>67</v>
      </c>
      <c r="M841" s="90" t="s">
        <v>167</v>
      </c>
      <c r="N841" s="92" t="s">
        <v>5</v>
      </c>
      <c r="O841" s="92" t="s">
        <v>89</v>
      </c>
      <c r="P841" s="87"/>
      <c r="Q841" s="87" t="s">
        <v>576</v>
      </c>
      <c r="R841" s="93" t="s">
        <v>577</v>
      </c>
      <c r="S841" s="87"/>
      <c r="T841" s="87"/>
      <c r="U841" s="94" t="str">
        <f t="array" ref="U841">IFERROR(INDEX(DFD!$D$2:$D$1048791,MATCH($Q841,DFD!$B$2:$B$1048791,0)),"")</f>
        <v/>
      </c>
      <c r="V841" s="94" t="s">
        <v>280</v>
      </c>
      <c r="W841" s="97" t="str">
        <f t="array" ref="W841">IFERROR(INDEX(DFD!$E$2:$E$1048791,MATCH($Q841,DFD!$B$2:$B$1048791,0)),"")</f>
        <v/>
      </c>
      <c r="X841" s="97" t="str">
        <f t="array" ref="X841">IFERROR(INDEX(DFD!$K$2:$K$1048791,MATCH($Q841,DFD!$B$2:$B$1048791,0)),"")</f>
        <v/>
      </c>
      <c r="Y841" s="97" t="str">
        <f t="array" ref="Y841">IFERROR(INDEX(DFD!$L$2:$L$1048790,MATCH($Q841,DFD!$B$2:$B$1048790,0)),"")</f>
        <v/>
      </c>
      <c r="Z841" s="97">
        <f t="shared" si="17"/>
        <v>45</v>
      </c>
      <c r="AA841" s="87"/>
      <c r="AB841" s="87" t="s">
        <v>78</v>
      </c>
      <c r="AC841" s="87"/>
      <c r="AD841" s="99">
        <v>46043.0</v>
      </c>
      <c r="AE841" s="100">
        <f t="shared" si="15"/>
        <v>1</v>
      </c>
    </row>
    <row r="842" ht="15.75" customHeight="1">
      <c r="A842" s="59" t="s">
        <v>2322</v>
      </c>
      <c r="B842" s="59" t="s">
        <v>123</v>
      </c>
      <c r="C842" s="60" t="s">
        <v>2323</v>
      </c>
      <c r="D842" s="60" t="s">
        <v>51</v>
      </c>
      <c r="E842" s="60">
        <v>1.0</v>
      </c>
      <c r="F842" s="72">
        <v>400.0</v>
      </c>
      <c r="G842" s="73" t="s">
        <v>53</v>
      </c>
      <c r="H842" s="74">
        <v>46174.0</v>
      </c>
      <c r="I842" s="67" t="s">
        <v>17</v>
      </c>
      <c r="J842" s="67" t="s">
        <v>54</v>
      </c>
      <c r="K842" s="67" t="s">
        <v>66</v>
      </c>
      <c r="L842" s="67" t="s">
        <v>67</v>
      </c>
      <c r="M842" s="73" t="s">
        <v>68</v>
      </c>
      <c r="N842" s="67" t="s">
        <v>5</v>
      </c>
      <c r="O842" s="59" t="s">
        <v>69</v>
      </c>
      <c r="P842" s="59"/>
      <c r="Q842" s="59" t="s">
        <v>576</v>
      </c>
      <c r="R842" s="76" t="s">
        <v>577</v>
      </c>
      <c r="S842" s="59"/>
      <c r="T842" s="59"/>
      <c r="U842" s="77" t="str">
        <f t="array" ref="U842">IFERROR(INDEX(DFD!$D$2:$D$1048791,MATCH($Q842,DFD!$B$2:$B$1048791,0)),"")</f>
        <v/>
      </c>
      <c r="V842" s="77" t="s">
        <v>280</v>
      </c>
      <c r="W842" s="84" t="str">
        <f t="array" ref="W842">IFERROR(INDEX(DFD!$E$2:$E$1048791,MATCH($Q842,DFD!$B$2:$B$1048791,0)),"")</f>
        <v/>
      </c>
      <c r="X842" s="84" t="str">
        <f t="array" ref="X842">IFERROR(INDEX(DFD!$K$2:$K$1048791,MATCH($Q842,DFD!$B$2:$B$1048791,0)),"")</f>
        <v/>
      </c>
      <c r="Y842" s="84" t="str">
        <f t="array" ref="Y842">IFERROR(INDEX(DFD!$L$2:$L$1048790,MATCH($Q842,DFD!$B$2:$B$1048790,0)),"")</f>
        <v/>
      </c>
      <c r="Z842" s="84">
        <f t="shared" si="17"/>
        <v>45</v>
      </c>
      <c r="AA842" s="59"/>
      <c r="AB842" s="59" t="s">
        <v>78</v>
      </c>
      <c r="AC842" s="59"/>
      <c r="AD842" s="85">
        <v>46043.0</v>
      </c>
      <c r="AE842" s="86">
        <f t="shared" si="15"/>
        <v>1</v>
      </c>
    </row>
    <row r="843" ht="15.75" customHeight="1">
      <c r="A843" s="87" t="s">
        <v>2324</v>
      </c>
      <c r="B843" s="87" t="s">
        <v>107</v>
      </c>
      <c r="C843" s="88" t="s">
        <v>2323</v>
      </c>
      <c r="D843" s="88" t="s">
        <v>51</v>
      </c>
      <c r="E843" s="88">
        <v>1.0</v>
      </c>
      <c r="F843" s="89">
        <v>400.0</v>
      </c>
      <c r="G843" s="90" t="s">
        <v>53</v>
      </c>
      <c r="H843" s="91">
        <v>46174.0</v>
      </c>
      <c r="I843" s="92" t="s">
        <v>17</v>
      </c>
      <c r="J843" s="92" t="s">
        <v>54</v>
      </c>
      <c r="K843" s="92" t="s">
        <v>66</v>
      </c>
      <c r="L843" s="92" t="s">
        <v>67</v>
      </c>
      <c r="M843" s="90" t="s">
        <v>68</v>
      </c>
      <c r="N843" s="92" t="s">
        <v>5</v>
      </c>
      <c r="O843" s="87" t="s">
        <v>69</v>
      </c>
      <c r="P843" s="87"/>
      <c r="Q843" s="87" t="s">
        <v>576</v>
      </c>
      <c r="R843" s="93" t="s">
        <v>577</v>
      </c>
      <c r="S843" s="87"/>
      <c r="T843" s="87"/>
      <c r="U843" s="94" t="str">
        <f t="array" ref="U843">IFERROR(INDEX(DFD!$D$2:$D$1048791,MATCH($Q843,DFD!$B$2:$B$1048791,0)),"")</f>
        <v/>
      </c>
      <c r="V843" s="94" t="s">
        <v>280</v>
      </c>
      <c r="W843" s="97" t="str">
        <f t="array" ref="W843">IFERROR(INDEX(DFD!$E$2:$E$1048791,MATCH($Q843,DFD!$B$2:$B$1048791,0)),"")</f>
        <v/>
      </c>
      <c r="X843" s="97" t="str">
        <f t="array" ref="X843">IFERROR(INDEX(DFD!$K$2:$K$1048791,MATCH($Q843,DFD!$B$2:$B$1048791,0)),"")</f>
        <v/>
      </c>
      <c r="Y843" s="97" t="str">
        <f t="array" ref="Y843">IFERROR(INDEX(DFD!$L$2:$L$1048790,MATCH($Q843,DFD!$B$2:$B$1048790,0)),"")</f>
        <v/>
      </c>
      <c r="Z843" s="97">
        <f t="shared" si="17"/>
        <v>45</v>
      </c>
      <c r="AA843" s="87"/>
      <c r="AB843" s="87" t="s">
        <v>78</v>
      </c>
      <c r="AC843" s="87"/>
      <c r="AD843" s="99">
        <v>46043.0</v>
      </c>
      <c r="AE843" s="100">
        <f t="shared" si="15"/>
        <v>1</v>
      </c>
    </row>
    <row r="844" ht="15.75" customHeight="1">
      <c r="A844" s="59" t="s">
        <v>2325</v>
      </c>
      <c r="B844" s="59" t="s">
        <v>87</v>
      </c>
      <c r="C844" s="60" t="s">
        <v>2323</v>
      </c>
      <c r="D844" s="60" t="s">
        <v>51</v>
      </c>
      <c r="E844" s="60">
        <v>1.0</v>
      </c>
      <c r="F844" s="72">
        <v>400.0</v>
      </c>
      <c r="G844" s="73" t="s">
        <v>53</v>
      </c>
      <c r="H844" s="74">
        <v>46174.0</v>
      </c>
      <c r="I844" s="67" t="s">
        <v>17</v>
      </c>
      <c r="J844" s="67" t="s">
        <v>54</v>
      </c>
      <c r="K844" s="67" t="s">
        <v>66</v>
      </c>
      <c r="L844" s="67" t="s">
        <v>67</v>
      </c>
      <c r="M844" s="73" t="s">
        <v>68</v>
      </c>
      <c r="N844" s="67" t="s">
        <v>5</v>
      </c>
      <c r="O844" s="67" t="s">
        <v>89</v>
      </c>
      <c r="P844" s="59"/>
      <c r="Q844" s="59" t="s">
        <v>576</v>
      </c>
      <c r="R844" s="76" t="s">
        <v>577</v>
      </c>
      <c r="S844" s="59"/>
      <c r="T844" s="59"/>
      <c r="U844" s="77" t="str">
        <f t="array" ref="U844">IFERROR(INDEX(DFD!$D$2:$D$1048791,MATCH($Q844,DFD!$B$2:$B$1048791,0)),"")</f>
        <v/>
      </c>
      <c r="V844" s="77" t="s">
        <v>280</v>
      </c>
      <c r="W844" s="84" t="str">
        <f t="array" ref="W844">IFERROR(INDEX(DFD!$E$2:$E$1048791,MATCH($Q844,DFD!$B$2:$B$1048791,0)),"")</f>
        <v/>
      </c>
      <c r="X844" s="84" t="str">
        <f t="array" ref="X844">IFERROR(INDEX(DFD!$K$2:$K$1048791,MATCH($Q844,DFD!$B$2:$B$1048791,0)),"")</f>
        <v/>
      </c>
      <c r="Y844" s="84" t="str">
        <f t="array" ref="Y844">IFERROR(INDEX(DFD!$L$2:$L$1048790,MATCH($Q844,DFD!$B$2:$B$1048790,0)),"")</f>
        <v/>
      </c>
      <c r="Z844" s="84">
        <f t="shared" si="17"/>
        <v>45</v>
      </c>
      <c r="AA844" s="59"/>
      <c r="AB844" s="59" t="s">
        <v>78</v>
      </c>
      <c r="AC844" s="59"/>
      <c r="AD844" s="85">
        <v>46043.0</v>
      </c>
      <c r="AE844" s="86">
        <f t="shared" si="15"/>
        <v>1</v>
      </c>
    </row>
    <row r="845" ht="15.75" customHeight="1">
      <c r="A845" s="92" t="s">
        <v>2326</v>
      </c>
      <c r="B845" s="87" t="s">
        <v>184</v>
      </c>
      <c r="C845" s="88" t="s">
        <v>2327</v>
      </c>
      <c r="D845" s="88" t="s">
        <v>51</v>
      </c>
      <c r="E845" s="88">
        <v>800.0</v>
      </c>
      <c r="F845" s="89">
        <v>6400.0</v>
      </c>
      <c r="G845" s="90" t="s">
        <v>53</v>
      </c>
      <c r="H845" s="91">
        <v>46204.0</v>
      </c>
      <c r="I845" s="92" t="s">
        <v>17</v>
      </c>
      <c r="J845" s="92" t="s">
        <v>54</v>
      </c>
      <c r="K845" s="92" t="s">
        <v>66</v>
      </c>
      <c r="L845" s="92" t="s">
        <v>67</v>
      </c>
      <c r="M845" s="90" t="s">
        <v>104</v>
      </c>
      <c r="N845" s="92" t="s">
        <v>20</v>
      </c>
      <c r="O845" s="87" t="s">
        <v>69</v>
      </c>
      <c r="P845" s="87"/>
      <c r="Q845" s="87" t="s">
        <v>1399</v>
      </c>
      <c r="R845" s="93" t="s">
        <v>187</v>
      </c>
      <c r="S845" s="87"/>
      <c r="T845" s="87"/>
      <c r="U845" s="94" t="str">
        <f t="array" ref="U845">IFERROR(INDEX(DFD!$D$2:$D$1048791,MATCH($Q845,DFD!$B$2:$B$1048791,0)),"")</f>
        <v/>
      </c>
      <c r="V845" s="94" t="str">
        <f t="array" ref="V845">IFERROR(INDEX(DFD!$F$2:$F$1048791,MATCH($Q845,DFD!$B$2:$B$1048791,0)),"")</f>
        <v/>
      </c>
      <c r="W845" s="97" t="str">
        <f t="array" ref="W845">IFERROR(INDEX(DFD!$E$2:$E$1048791,MATCH($Q845,DFD!$B$2:$B$1048791,0)),"")</f>
        <v/>
      </c>
      <c r="X845" s="97" t="str">
        <f t="array" ref="X845">IFERROR(INDEX(DFD!$K$2:$K$1048791,MATCH($Q845,DFD!$B$2:$B$1048791,0)),"")</f>
        <v/>
      </c>
      <c r="Y845" s="97" t="str">
        <f t="array" ref="Y845">IFERROR(INDEX(DFD!$L$2:$L$1048790,MATCH($Q845,DFD!$B$2:$B$1048790,0)),"")</f>
        <v/>
      </c>
      <c r="Z845" s="97">
        <f t="shared" si="17"/>
        <v>45</v>
      </c>
      <c r="AA845" s="87"/>
      <c r="AB845" s="87" t="s">
        <v>78</v>
      </c>
      <c r="AC845" s="87"/>
      <c r="AD845" s="99">
        <v>46043.0</v>
      </c>
      <c r="AE845" s="100">
        <f t="shared" si="15"/>
        <v>1</v>
      </c>
    </row>
    <row r="846" ht="15.75" customHeight="1">
      <c r="A846" s="67" t="s">
        <v>2328</v>
      </c>
      <c r="B846" s="59" t="s">
        <v>184</v>
      </c>
      <c r="C846" s="60" t="s">
        <v>2329</v>
      </c>
      <c r="D846" s="60" t="s">
        <v>51</v>
      </c>
      <c r="E846" s="60">
        <v>120.0</v>
      </c>
      <c r="F846" s="72">
        <v>300.0</v>
      </c>
      <c r="G846" s="73" t="s">
        <v>53</v>
      </c>
      <c r="H846" s="74">
        <v>46174.0</v>
      </c>
      <c r="I846" s="67" t="s">
        <v>17</v>
      </c>
      <c r="J846" s="67" t="s">
        <v>54</v>
      </c>
      <c r="K846" s="67" t="s">
        <v>66</v>
      </c>
      <c r="L846" s="67" t="s">
        <v>67</v>
      </c>
      <c r="M846" s="73" t="s">
        <v>104</v>
      </c>
      <c r="N846" s="67" t="s">
        <v>20</v>
      </c>
      <c r="O846" s="59" t="s">
        <v>69</v>
      </c>
      <c r="P846" s="59"/>
      <c r="Q846" s="59" t="s">
        <v>1399</v>
      </c>
      <c r="R846" s="76" t="s">
        <v>187</v>
      </c>
      <c r="S846" s="59"/>
      <c r="T846" s="59"/>
      <c r="U846" s="77" t="str">
        <f t="array" ref="U846">IFERROR(INDEX(DFD!$D$2:$D$1048791,MATCH($Q846,DFD!$B$2:$B$1048791,0)),"")</f>
        <v/>
      </c>
      <c r="V846" s="77" t="str">
        <f t="array" ref="V846">IFERROR(INDEX(DFD!$F$2:$F$1048791,MATCH($Q846,DFD!$B$2:$B$1048791,0)),"")</f>
        <v/>
      </c>
      <c r="W846" s="84" t="str">
        <f t="array" ref="W846">IFERROR(INDEX(DFD!$E$2:$E$1048791,MATCH($Q846,DFD!$B$2:$B$1048791,0)),"")</f>
        <v/>
      </c>
      <c r="X846" s="84" t="str">
        <f t="array" ref="X846">IFERROR(INDEX(DFD!$K$2:$K$1048791,MATCH($Q846,DFD!$B$2:$B$1048791,0)),"")</f>
        <v/>
      </c>
      <c r="Y846" s="84" t="str">
        <f t="array" ref="Y846">IFERROR(INDEX(DFD!$L$2:$L$1048790,MATCH($Q846,DFD!$B$2:$B$1048790,0)),"")</f>
        <v/>
      </c>
      <c r="Z846" s="84">
        <f t="shared" si="17"/>
        <v>45</v>
      </c>
      <c r="AA846" s="59"/>
      <c r="AB846" s="59" t="s">
        <v>78</v>
      </c>
      <c r="AC846" s="59"/>
      <c r="AD846" s="85">
        <v>46043.0</v>
      </c>
      <c r="AE846" s="86">
        <f t="shared" si="15"/>
        <v>1</v>
      </c>
    </row>
    <row r="847" ht="15.75" customHeight="1">
      <c r="A847" s="87" t="s">
        <v>2330</v>
      </c>
      <c r="B847" s="87" t="s">
        <v>136</v>
      </c>
      <c r="C847" s="88" t="s">
        <v>2331</v>
      </c>
      <c r="D847" s="88" t="s">
        <v>2332</v>
      </c>
      <c r="E847" s="88">
        <v>24.0</v>
      </c>
      <c r="F847" s="89">
        <v>432.0</v>
      </c>
      <c r="G847" s="90" t="s">
        <v>53</v>
      </c>
      <c r="H847" s="91">
        <v>46174.0</v>
      </c>
      <c r="I847" s="92" t="s">
        <v>17</v>
      </c>
      <c r="J847" s="92" t="s">
        <v>54</v>
      </c>
      <c r="K847" s="92" t="s">
        <v>66</v>
      </c>
      <c r="L847" s="92" t="s">
        <v>67</v>
      </c>
      <c r="M847" s="90" t="s">
        <v>132</v>
      </c>
      <c r="N847" s="92" t="s">
        <v>5</v>
      </c>
      <c r="O847" s="92" t="s">
        <v>89</v>
      </c>
      <c r="P847" s="87"/>
      <c r="Q847" s="87" t="s">
        <v>139</v>
      </c>
      <c r="R847" s="93" t="s">
        <v>140</v>
      </c>
      <c r="S847" s="87"/>
      <c r="T847" s="87"/>
      <c r="U847" s="94" t="str">
        <f t="array" ref="U847">IFERROR(INDEX(DFD!$D$2:$D$1048791,MATCH($Q847,DFD!$B$2:$B$1048791,0)),"")</f>
        <v/>
      </c>
      <c r="V847" s="94" t="str">
        <f t="array" ref="V847">IFERROR(INDEX(DFD!$F$2:$F$1048791,MATCH($Q847,DFD!$B$2:$B$1048791,0)),"")</f>
        <v/>
      </c>
      <c r="W847" s="97" t="str">
        <f t="array" ref="W847">IFERROR(INDEX(DFD!$E$2:$E$1048791,MATCH($Q847,DFD!$B$2:$B$1048791,0)),"")</f>
        <v/>
      </c>
      <c r="X847" s="97" t="str">
        <f t="array" ref="X847">IFERROR(INDEX(DFD!$K$2:$K$1048791,MATCH($Q847,DFD!$B$2:$B$1048791,0)),"")</f>
        <v/>
      </c>
      <c r="Y847" s="97" t="str">
        <f t="array" ref="Y847">IFERROR(INDEX(DFD!$L$2:$L$1048790,MATCH($Q847,DFD!$B$2:$B$1048790,0)),"")</f>
        <v/>
      </c>
      <c r="Z847" s="97">
        <f t="shared" si="17"/>
        <v>45</v>
      </c>
      <c r="AA847" s="87"/>
      <c r="AB847" s="87" t="s">
        <v>78</v>
      </c>
      <c r="AC847" s="87"/>
      <c r="AD847" s="99">
        <v>46043.0</v>
      </c>
      <c r="AE847" s="100">
        <f t="shared" si="15"/>
        <v>1</v>
      </c>
    </row>
    <row r="848" ht="15.75" customHeight="1">
      <c r="A848" s="67" t="s">
        <v>2333</v>
      </c>
      <c r="B848" s="59" t="s">
        <v>184</v>
      </c>
      <c r="C848" s="60" t="s">
        <v>2334</v>
      </c>
      <c r="D848" s="60" t="s">
        <v>2335</v>
      </c>
      <c r="E848" s="60">
        <v>100.0</v>
      </c>
      <c r="F848" s="72">
        <v>2800.0</v>
      </c>
      <c r="G848" s="73" t="s">
        <v>53</v>
      </c>
      <c r="H848" s="74">
        <v>46174.0</v>
      </c>
      <c r="I848" s="67" t="s">
        <v>17</v>
      </c>
      <c r="J848" s="67" t="s">
        <v>54</v>
      </c>
      <c r="K848" s="67" t="s">
        <v>66</v>
      </c>
      <c r="L848" s="67" t="s">
        <v>67</v>
      </c>
      <c r="M848" s="73" t="s">
        <v>68</v>
      </c>
      <c r="N848" s="67" t="s">
        <v>20</v>
      </c>
      <c r="O848" s="59" t="s">
        <v>69</v>
      </c>
      <c r="P848" s="59"/>
      <c r="Q848" s="59" t="s">
        <v>800</v>
      </c>
      <c r="R848" s="76" t="s">
        <v>287</v>
      </c>
      <c r="S848" s="59"/>
      <c r="T848" s="59"/>
      <c r="U848" s="77" t="str">
        <f t="array" ref="U848">IFERROR(INDEX(DFD!$D$2:$D$1048791,MATCH($Q848,DFD!$B$2:$B$1048791,0)),"")</f>
        <v/>
      </c>
      <c r="V848" s="77" t="str">
        <f t="array" ref="V848">IFERROR(INDEX(DFD!$F$2:$F$1048791,MATCH($Q848,DFD!$B$2:$B$1048791,0)),"")</f>
        <v/>
      </c>
      <c r="W848" s="84" t="str">
        <f t="array" ref="W848">IFERROR(INDEX(DFD!$E$2:$E$1048791,MATCH($Q848,DFD!$B$2:$B$1048791,0)),"")</f>
        <v/>
      </c>
      <c r="X848" s="84" t="str">
        <f t="array" ref="X848">IFERROR(INDEX(DFD!$K$2:$K$1048791,MATCH($Q848,DFD!$B$2:$B$1048791,0)),"")</f>
        <v/>
      </c>
      <c r="Y848" s="84" t="str">
        <f t="array" ref="Y848">IFERROR(INDEX(DFD!$L$2:$L$1048790,MATCH($Q848,DFD!$B$2:$B$1048790,0)),"")</f>
        <v/>
      </c>
      <c r="Z848" s="84">
        <f t="shared" si="17"/>
        <v>45</v>
      </c>
      <c r="AA848" s="59"/>
      <c r="AB848" s="59" t="s">
        <v>78</v>
      </c>
      <c r="AC848" s="59"/>
      <c r="AD848" s="85">
        <v>46043.0</v>
      </c>
      <c r="AE848" s="86">
        <f t="shared" si="15"/>
        <v>1</v>
      </c>
    </row>
    <row r="849" ht="15.75" customHeight="1">
      <c r="A849" s="92" t="s">
        <v>2336</v>
      </c>
      <c r="B849" s="87" t="s">
        <v>184</v>
      </c>
      <c r="C849" s="88" t="s">
        <v>2337</v>
      </c>
      <c r="D849" s="88" t="s">
        <v>51</v>
      </c>
      <c r="E849" s="88">
        <v>60.0</v>
      </c>
      <c r="F849" s="89">
        <v>4320.0</v>
      </c>
      <c r="G849" s="90" t="s">
        <v>53</v>
      </c>
      <c r="H849" s="91">
        <v>46204.0</v>
      </c>
      <c r="I849" s="92" t="s">
        <v>17</v>
      </c>
      <c r="J849" s="92" t="s">
        <v>54</v>
      </c>
      <c r="K849" s="92" t="s">
        <v>66</v>
      </c>
      <c r="L849" s="92" t="s">
        <v>67</v>
      </c>
      <c r="M849" s="90" t="s">
        <v>57</v>
      </c>
      <c r="N849" s="92" t="s">
        <v>20</v>
      </c>
      <c r="O849" s="87" t="s">
        <v>69</v>
      </c>
      <c r="P849" s="87"/>
      <c r="Q849" s="87" t="s">
        <v>800</v>
      </c>
      <c r="R849" s="93" t="s">
        <v>287</v>
      </c>
      <c r="S849" s="87"/>
      <c r="T849" s="87"/>
      <c r="U849" s="94" t="str">
        <f t="array" ref="U849">IFERROR(INDEX(DFD!$D$2:$D$1048791,MATCH($Q849,DFD!$B$2:$B$1048791,0)),"")</f>
        <v/>
      </c>
      <c r="V849" s="94" t="str">
        <f t="array" ref="V849">IFERROR(INDEX(DFD!$F$2:$F$1048791,MATCH($Q849,DFD!$B$2:$B$1048791,0)),"")</f>
        <v/>
      </c>
      <c r="W849" s="97" t="str">
        <f t="array" ref="W849">IFERROR(INDEX(DFD!$E$2:$E$1048791,MATCH($Q849,DFD!$B$2:$B$1048791,0)),"")</f>
        <v/>
      </c>
      <c r="X849" s="97" t="str">
        <f t="array" ref="X849">IFERROR(INDEX(DFD!$K$2:$K$1048791,MATCH($Q849,DFD!$B$2:$B$1048791,0)),"")</f>
        <v/>
      </c>
      <c r="Y849" s="97" t="str">
        <f t="array" ref="Y849">IFERROR(INDEX(DFD!$L$2:$L$1048790,MATCH($Q849,DFD!$B$2:$B$1048790,0)),"")</f>
        <v/>
      </c>
      <c r="Z849" s="97">
        <f t="shared" si="17"/>
        <v>45</v>
      </c>
      <c r="AA849" s="87"/>
      <c r="AB849" s="87" t="s">
        <v>78</v>
      </c>
      <c r="AC849" s="87"/>
      <c r="AD849" s="99">
        <v>46043.0</v>
      </c>
      <c r="AE849" s="100">
        <f t="shared" si="15"/>
        <v>1</v>
      </c>
    </row>
    <row r="850" ht="15.75" customHeight="1">
      <c r="A850" s="67" t="s">
        <v>2338</v>
      </c>
      <c r="B850" s="59" t="s">
        <v>184</v>
      </c>
      <c r="C850" s="60" t="s">
        <v>2339</v>
      </c>
      <c r="D850" s="60" t="s">
        <v>51</v>
      </c>
      <c r="E850" s="60">
        <v>18000.0</v>
      </c>
      <c r="F850" s="72">
        <v>32400.0</v>
      </c>
      <c r="G850" s="73" t="s">
        <v>53</v>
      </c>
      <c r="H850" s="74">
        <v>46235.0</v>
      </c>
      <c r="I850" s="67" t="s">
        <v>17</v>
      </c>
      <c r="J850" s="67" t="s">
        <v>54</v>
      </c>
      <c r="K850" s="67" t="s">
        <v>66</v>
      </c>
      <c r="L850" s="67" t="s">
        <v>67</v>
      </c>
      <c r="M850" s="73" t="s">
        <v>167</v>
      </c>
      <c r="N850" s="67" t="s">
        <v>20</v>
      </c>
      <c r="O850" s="67" t="s">
        <v>89</v>
      </c>
      <c r="P850" s="59"/>
      <c r="Q850" s="59" t="s">
        <v>264</v>
      </c>
      <c r="R850" s="76" t="s">
        <v>187</v>
      </c>
      <c r="S850" s="59"/>
      <c r="T850" s="59"/>
      <c r="U850" s="77" t="str">
        <f t="array" ref="U850">IFERROR(INDEX(DFD!$D$2:$D$1048791,MATCH($Q850,DFD!$B$2:$B$1048791,0)),"")</f>
        <v/>
      </c>
      <c r="V850" s="77" t="str">
        <f t="array" ref="V850">IFERROR(INDEX(DFD!$F$2:$F$1048791,MATCH($Q850,DFD!$B$2:$B$1048791,0)),"")</f>
        <v/>
      </c>
      <c r="W850" s="84" t="str">
        <f t="array" ref="W850">IFERROR(INDEX(DFD!$E$2:$E$1048791,MATCH($Q850,DFD!$B$2:$B$1048791,0)),"")</f>
        <v/>
      </c>
      <c r="X850" s="84" t="str">
        <f t="array" ref="X850">IFERROR(INDEX(DFD!$K$2:$K$1048791,MATCH($Q850,DFD!$B$2:$B$1048791,0)),"")</f>
        <v/>
      </c>
      <c r="Y850" s="84" t="str">
        <f t="array" ref="Y850">IFERROR(INDEX(DFD!$L$2:$L$1048790,MATCH($Q850,DFD!$B$2:$B$1048790,0)),"")</f>
        <v/>
      </c>
      <c r="Z850" s="84">
        <f t="shared" si="17"/>
        <v>45</v>
      </c>
      <c r="AA850" s="59"/>
      <c r="AB850" s="59" t="s">
        <v>78</v>
      </c>
      <c r="AC850" s="59"/>
      <c r="AD850" s="85">
        <v>46043.0</v>
      </c>
      <c r="AE850" s="86">
        <f t="shared" si="15"/>
        <v>1</v>
      </c>
    </row>
    <row r="851" ht="15.75" customHeight="1">
      <c r="A851" s="87" t="s">
        <v>2340</v>
      </c>
      <c r="B851" s="87" t="s">
        <v>101</v>
      </c>
      <c r="C851" s="88" t="s">
        <v>2341</v>
      </c>
      <c r="D851" s="88" t="s">
        <v>2342</v>
      </c>
      <c r="E851" s="88">
        <v>50.0</v>
      </c>
      <c r="F851" s="89">
        <v>3000.0</v>
      </c>
      <c r="G851" s="90" t="s">
        <v>53</v>
      </c>
      <c r="H851" s="91">
        <v>46174.0</v>
      </c>
      <c r="I851" s="92" t="s">
        <v>17</v>
      </c>
      <c r="J851" s="92" t="s">
        <v>54</v>
      </c>
      <c r="K851" s="92" t="s">
        <v>66</v>
      </c>
      <c r="L851" s="92" t="s">
        <v>67</v>
      </c>
      <c r="M851" s="90" t="s">
        <v>104</v>
      </c>
      <c r="N851" s="92" t="s">
        <v>5</v>
      </c>
      <c r="O851" s="87" t="s">
        <v>69</v>
      </c>
      <c r="P851" s="87"/>
      <c r="Q851" s="87" t="s">
        <v>800</v>
      </c>
      <c r="R851" s="93" t="s">
        <v>287</v>
      </c>
      <c r="S851" s="87"/>
      <c r="T851" s="87"/>
      <c r="U851" s="94" t="str">
        <f t="array" ref="U851">IFERROR(INDEX(DFD!$D$2:$D$1048791,MATCH($Q851,DFD!$B$2:$B$1048791,0)),"")</f>
        <v/>
      </c>
      <c r="V851" s="94" t="str">
        <f t="array" ref="V851">IFERROR(INDEX(DFD!$F$2:$F$1048791,MATCH($Q851,DFD!$B$2:$B$1048791,0)),"")</f>
        <v/>
      </c>
      <c r="W851" s="97" t="str">
        <f t="array" ref="W851">IFERROR(INDEX(DFD!$E$2:$E$1048791,MATCH($Q851,DFD!$B$2:$B$1048791,0)),"")</f>
        <v/>
      </c>
      <c r="X851" s="97" t="str">
        <f t="array" ref="X851">IFERROR(INDEX(DFD!$K$2:$K$1048791,MATCH($Q851,DFD!$B$2:$B$1048791,0)),"")</f>
        <v/>
      </c>
      <c r="Y851" s="97" t="str">
        <f t="array" ref="Y851">IFERROR(INDEX(DFD!$L$2:$L$1048790,MATCH($Q851,DFD!$B$2:$B$1048790,0)),"")</f>
        <v/>
      </c>
      <c r="Z851" s="97">
        <f t="shared" si="17"/>
        <v>45</v>
      </c>
      <c r="AA851" s="87"/>
      <c r="AB851" s="87" t="s">
        <v>78</v>
      </c>
      <c r="AC851" s="87"/>
      <c r="AD851" s="99">
        <v>46043.0</v>
      </c>
      <c r="AE851" s="100">
        <f t="shared" si="15"/>
        <v>1</v>
      </c>
    </row>
    <row r="852" ht="15.75" customHeight="1">
      <c r="A852" s="67" t="s">
        <v>2343</v>
      </c>
      <c r="B852" s="59" t="s">
        <v>184</v>
      </c>
      <c r="C852" s="60" t="s">
        <v>2344</v>
      </c>
      <c r="D852" s="60" t="s">
        <v>51</v>
      </c>
      <c r="E852" s="60">
        <v>100.0</v>
      </c>
      <c r="F852" s="72">
        <v>1400.0</v>
      </c>
      <c r="G852" s="73" t="s">
        <v>53</v>
      </c>
      <c r="H852" s="74">
        <v>46174.0</v>
      </c>
      <c r="I852" s="67" t="s">
        <v>17</v>
      </c>
      <c r="J852" s="67" t="s">
        <v>54</v>
      </c>
      <c r="K852" s="67" t="s">
        <v>66</v>
      </c>
      <c r="L852" s="67" t="s">
        <v>67</v>
      </c>
      <c r="M852" s="73" t="s">
        <v>68</v>
      </c>
      <c r="N852" s="67" t="s">
        <v>20</v>
      </c>
      <c r="O852" s="59" t="s">
        <v>69</v>
      </c>
      <c r="P852" s="59"/>
      <c r="Q852" s="59" t="s">
        <v>1399</v>
      </c>
      <c r="R852" s="76" t="s">
        <v>187</v>
      </c>
      <c r="S852" s="59"/>
      <c r="T852" s="59"/>
      <c r="U852" s="77" t="str">
        <f t="array" ref="U852">IFERROR(INDEX(DFD!$D$2:$D$1048791,MATCH($Q852,DFD!$B$2:$B$1048791,0)),"")</f>
        <v/>
      </c>
      <c r="V852" s="77" t="str">
        <f t="array" ref="V852">IFERROR(INDEX(DFD!$F$2:$F$1048791,MATCH($Q852,DFD!$B$2:$B$1048791,0)),"")</f>
        <v/>
      </c>
      <c r="W852" s="84" t="str">
        <f t="array" ref="W852">IFERROR(INDEX(DFD!$E$2:$E$1048791,MATCH($Q852,DFD!$B$2:$B$1048791,0)),"")</f>
        <v/>
      </c>
      <c r="X852" s="84" t="str">
        <f t="array" ref="X852">IFERROR(INDEX(DFD!$K$2:$K$1048791,MATCH($Q852,DFD!$B$2:$B$1048791,0)),"")</f>
        <v/>
      </c>
      <c r="Y852" s="84" t="str">
        <f t="array" ref="Y852">IFERROR(INDEX(DFD!$L$2:$L$1048790,MATCH($Q852,DFD!$B$2:$B$1048790,0)),"")</f>
        <v/>
      </c>
      <c r="Z852" s="84">
        <f t="shared" si="17"/>
        <v>45</v>
      </c>
      <c r="AA852" s="59"/>
      <c r="AB852" s="59" t="s">
        <v>78</v>
      </c>
      <c r="AC852" s="59"/>
      <c r="AD852" s="85">
        <v>46043.0</v>
      </c>
      <c r="AE852" s="86">
        <f t="shared" si="15"/>
        <v>1</v>
      </c>
    </row>
    <row r="853" ht="15.75" customHeight="1">
      <c r="A853" s="92" t="s">
        <v>2345</v>
      </c>
      <c r="B853" s="87" t="s">
        <v>184</v>
      </c>
      <c r="C853" s="88" t="s">
        <v>2346</v>
      </c>
      <c r="D853" s="88" t="s">
        <v>1792</v>
      </c>
      <c r="E853" s="88">
        <v>300.0</v>
      </c>
      <c r="F853" s="89">
        <v>6600.0</v>
      </c>
      <c r="G853" s="90" t="s">
        <v>53</v>
      </c>
      <c r="H853" s="91">
        <v>46204.0</v>
      </c>
      <c r="I853" s="92" t="s">
        <v>17</v>
      </c>
      <c r="J853" s="92" t="s">
        <v>54</v>
      </c>
      <c r="K853" s="92" t="s">
        <v>66</v>
      </c>
      <c r="L853" s="92" t="s">
        <v>67</v>
      </c>
      <c r="M853" s="90" t="s">
        <v>167</v>
      </c>
      <c r="N853" s="92" t="s">
        <v>20</v>
      </c>
      <c r="O853" s="92" t="s">
        <v>89</v>
      </c>
      <c r="P853" s="87"/>
      <c r="Q853" s="87" t="s">
        <v>1399</v>
      </c>
      <c r="R853" s="93" t="s">
        <v>187</v>
      </c>
      <c r="S853" s="87"/>
      <c r="T853" s="87"/>
      <c r="U853" s="94" t="str">
        <f t="array" ref="U853">IFERROR(INDEX(DFD!$D$2:$D$1048791,MATCH($Q853,DFD!$B$2:$B$1048791,0)),"")</f>
        <v/>
      </c>
      <c r="V853" s="94" t="str">
        <f t="array" ref="V853">IFERROR(INDEX(DFD!$F$2:$F$1048791,MATCH($Q853,DFD!$B$2:$B$1048791,0)),"")</f>
        <v/>
      </c>
      <c r="W853" s="97" t="str">
        <f t="array" ref="W853">IFERROR(INDEX(DFD!$E$2:$E$1048791,MATCH($Q853,DFD!$B$2:$B$1048791,0)),"")</f>
        <v/>
      </c>
      <c r="X853" s="97" t="str">
        <f t="array" ref="X853">IFERROR(INDEX(DFD!$K$2:$K$1048791,MATCH($Q853,DFD!$B$2:$B$1048791,0)),"")</f>
        <v/>
      </c>
      <c r="Y853" s="97" t="str">
        <f t="array" ref="Y853">IFERROR(INDEX(DFD!$L$2:$L$1048790,MATCH($Q853,DFD!$B$2:$B$1048790,0)),"")</f>
        <v/>
      </c>
      <c r="Z853" s="97">
        <f t="shared" si="17"/>
        <v>45</v>
      </c>
      <c r="AA853" s="87"/>
      <c r="AB853" s="87" t="s">
        <v>78</v>
      </c>
      <c r="AC853" s="87"/>
      <c r="AD853" s="99">
        <v>46043.0</v>
      </c>
      <c r="AE853" s="100">
        <f t="shared" si="15"/>
        <v>1</v>
      </c>
    </row>
    <row r="854" ht="15.75" customHeight="1">
      <c r="A854" s="59" t="s">
        <v>2347</v>
      </c>
      <c r="B854" s="59" t="s">
        <v>101</v>
      </c>
      <c r="C854" s="60" t="s">
        <v>2348</v>
      </c>
      <c r="D854" s="60" t="s">
        <v>51</v>
      </c>
      <c r="E854" s="60">
        <v>100.0</v>
      </c>
      <c r="F854" s="72">
        <v>5400.0</v>
      </c>
      <c r="G854" s="73" t="s">
        <v>53</v>
      </c>
      <c r="H854" s="74">
        <v>46204.0</v>
      </c>
      <c r="I854" s="67" t="s">
        <v>17</v>
      </c>
      <c r="J854" s="67" t="s">
        <v>54</v>
      </c>
      <c r="K854" s="67" t="s">
        <v>66</v>
      </c>
      <c r="L854" s="67" t="s">
        <v>56</v>
      </c>
      <c r="M854" s="73" t="s">
        <v>104</v>
      </c>
      <c r="N854" s="67" t="s">
        <v>58</v>
      </c>
      <c r="O854" s="59" t="s">
        <v>69</v>
      </c>
      <c r="P854" s="59"/>
      <c r="Q854" s="59" t="s">
        <v>756</v>
      </c>
      <c r="R854" s="76" t="s">
        <v>503</v>
      </c>
      <c r="S854" s="59"/>
      <c r="T854" s="59"/>
      <c r="U854" s="77" t="str">
        <f t="array" ref="U854">IFERROR(INDEX(DFD!$D$2:$D$1048791,MATCH($Q854,DFD!$B$2:$B$1048791,0)),"")</f>
        <v/>
      </c>
      <c r="V854" s="77" t="str">
        <f t="array" ref="V854">IFERROR(INDEX(DFD!$F$2:$F$1048791,MATCH($Q854,DFD!$B$2:$B$1048791,0)),"")</f>
        <v/>
      </c>
      <c r="W854" s="84" t="str">
        <f t="array" ref="W854">IFERROR(INDEX(DFD!$E$2:$E$1048791,MATCH($Q854,DFD!$B$2:$B$1048791,0)),"")</f>
        <v/>
      </c>
      <c r="X854" s="84" t="str">
        <f t="array" ref="X854">IFERROR(INDEX(DFD!$K$2:$K$1048791,MATCH($Q854,DFD!$B$2:$B$1048791,0)),"")</f>
        <v/>
      </c>
      <c r="Y854" s="84" t="str">
        <f t="array" ref="Y854">IFERROR(INDEX(DFD!$L$2:$L$1048790,MATCH($Q854,DFD!$B$2:$B$1048790,0)),"")</f>
        <v/>
      </c>
      <c r="Z854" s="84">
        <f t="shared" si="17"/>
        <v>45</v>
      </c>
      <c r="AA854" s="59"/>
      <c r="AB854" s="59" t="s">
        <v>78</v>
      </c>
      <c r="AC854" s="59"/>
      <c r="AD854" s="85">
        <v>46043.0</v>
      </c>
      <c r="AE854" s="86">
        <f t="shared" si="15"/>
        <v>1</v>
      </c>
    </row>
    <row r="855" ht="15.75" customHeight="1">
      <c r="A855" s="87" t="s">
        <v>2349</v>
      </c>
      <c r="B855" s="87" t="s">
        <v>52</v>
      </c>
      <c r="C855" s="88" t="s">
        <v>2350</v>
      </c>
      <c r="D855" s="88" t="s">
        <v>1349</v>
      </c>
      <c r="E855" s="87">
        <v>1.0</v>
      </c>
      <c r="F855" s="89">
        <v>20000.0</v>
      </c>
      <c r="G855" s="90" t="s">
        <v>437</v>
      </c>
      <c r="H855" s="91">
        <v>46174.0</v>
      </c>
      <c r="I855" s="92" t="s">
        <v>17</v>
      </c>
      <c r="J855" s="92" t="s">
        <v>54</v>
      </c>
      <c r="K855" s="92" t="s">
        <v>2351</v>
      </c>
      <c r="L855" s="92" t="s">
        <v>67</v>
      </c>
      <c r="M855" s="90" t="s">
        <v>2352</v>
      </c>
      <c r="N855" s="92" t="s">
        <v>52</v>
      </c>
      <c r="O855" s="87" t="s">
        <v>69</v>
      </c>
      <c r="P855" s="87"/>
      <c r="Q855" s="87" t="s">
        <v>52</v>
      </c>
      <c r="R855" s="93" t="s">
        <v>2353</v>
      </c>
      <c r="S855" s="87"/>
      <c r="T855" s="87"/>
      <c r="U855" s="94"/>
      <c r="V855" s="94"/>
      <c r="W855" s="97"/>
      <c r="X855" s="97"/>
      <c r="Y855" s="97"/>
      <c r="Z855" s="97"/>
      <c r="AA855" s="87"/>
      <c r="AB855" s="87" t="s">
        <v>72</v>
      </c>
      <c r="AC855" s="87"/>
      <c r="AD855" s="99">
        <v>46043.0</v>
      </c>
      <c r="AE855" s="100">
        <f t="shared" si="15"/>
        <v>1</v>
      </c>
    </row>
    <row r="856" ht="15.75" customHeight="1">
      <c r="A856" s="59" t="s">
        <v>2354</v>
      </c>
      <c r="B856" s="59" t="s">
        <v>136</v>
      </c>
      <c r="C856" s="81" t="s">
        <v>2350</v>
      </c>
      <c r="D856" s="60" t="s">
        <v>1349</v>
      </c>
      <c r="E856" s="60">
        <v>1.0</v>
      </c>
      <c r="F856" s="72">
        <v>200000.0</v>
      </c>
      <c r="G856" s="73" t="s">
        <v>437</v>
      </c>
      <c r="H856" s="74">
        <v>46266.0</v>
      </c>
      <c r="I856" s="67" t="s">
        <v>17</v>
      </c>
      <c r="J856" s="67" t="s">
        <v>54</v>
      </c>
      <c r="K856" s="67" t="s">
        <v>2351</v>
      </c>
      <c r="L856" s="67" t="s">
        <v>67</v>
      </c>
      <c r="M856" s="73" t="s">
        <v>2355</v>
      </c>
      <c r="N856" s="67" t="s">
        <v>5</v>
      </c>
      <c r="O856" s="67" t="s">
        <v>89</v>
      </c>
      <c r="P856" s="59"/>
      <c r="Q856" s="59" t="s">
        <v>467</v>
      </c>
      <c r="R856" s="76" t="s">
        <v>2353</v>
      </c>
      <c r="S856" s="59"/>
      <c r="T856" s="59"/>
      <c r="U856" s="77" t="str">
        <f t="array" ref="U856">IFERROR(INDEX(DFD!$D$2:$D$1048791,MATCH($Q856,DFD!$B$2:$B$1048791,0)),"")</f>
        <v/>
      </c>
      <c r="V856" s="77" t="str">
        <f t="array" ref="V856">IFERROR(INDEX(DFD!$F$2:$F$1048791,MATCH($Q856,DFD!$B$2:$B$1048791,0)),"")</f>
        <v/>
      </c>
      <c r="W856" s="84" t="str">
        <f t="array" ref="W856">IFERROR(INDEX(DFD!$E$2:$E$1048791,MATCH($Q856,DFD!$B$2:$B$1048791,0)),"")</f>
        <v/>
      </c>
      <c r="X856" s="84" t="str">
        <f t="array" ref="X856">IFERROR(INDEX(DFD!$K$2:$K$1048791,MATCH($Q856,DFD!$B$2:$B$1048791,0)),"")</f>
        <v/>
      </c>
      <c r="Y856" s="84" t="str">
        <f t="array" ref="Y856">IFERROR(INDEX(DFD!$L$2:$L$1048790,MATCH($Q856,DFD!$B$2:$B$1048790,0)),"")</f>
        <v/>
      </c>
      <c r="Z856" s="84">
        <f t="shared" ref="Z856:Z946" si="18">Y856+45</f>
        <v>45</v>
      </c>
      <c r="AA856" s="59"/>
      <c r="AB856" s="59" t="s">
        <v>288</v>
      </c>
      <c r="AC856" s="59"/>
      <c r="AD856" s="85">
        <v>46043.0</v>
      </c>
      <c r="AE856" s="86">
        <f t="shared" si="15"/>
        <v>1</v>
      </c>
    </row>
    <row r="857" ht="15.75" customHeight="1">
      <c r="A857" s="92" t="s">
        <v>2356</v>
      </c>
      <c r="B857" s="87" t="s">
        <v>184</v>
      </c>
      <c r="C857" s="88" t="s">
        <v>2357</v>
      </c>
      <c r="D857" s="88" t="s">
        <v>51</v>
      </c>
      <c r="E857" s="88">
        <v>30.0</v>
      </c>
      <c r="F857" s="89">
        <v>165.0</v>
      </c>
      <c r="G857" s="90" t="s">
        <v>53</v>
      </c>
      <c r="H857" s="91">
        <v>46143.0</v>
      </c>
      <c r="I857" s="92" t="s">
        <v>17</v>
      </c>
      <c r="J857" s="92" t="s">
        <v>54</v>
      </c>
      <c r="K857" s="92" t="s">
        <v>66</v>
      </c>
      <c r="L857" s="92" t="s">
        <v>67</v>
      </c>
      <c r="M857" s="90" t="s">
        <v>132</v>
      </c>
      <c r="N857" s="92" t="s">
        <v>20</v>
      </c>
      <c r="O857" s="87" t="s">
        <v>69</v>
      </c>
      <c r="P857" s="87"/>
      <c r="Q857" s="87" t="s">
        <v>286</v>
      </c>
      <c r="R857" s="93" t="s">
        <v>287</v>
      </c>
      <c r="S857" s="87"/>
      <c r="T857" s="87"/>
      <c r="U857" s="94" t="str">
        <f t="array" ref="U857">IFERROR(INDEX(DFD!$D$2:$D$1048791,MATCH($Q857,DFD!$B$2:$B$1048791,0)),"")</f>
        <v/>
      </c>
      <c r="V857" s="94" t="str">
        <f t="array" ref="V857">IFERROR(INDEX(DFD!$F$2:$F$1048791,MATCH($Q857,DFD!$B$2:$B$1048791,0)),"")</f>
        <v/>
      </c>
      <c r="W857" s="97" t="str">
        <f t="array" ref="W857">IFERROR(INDEX(DFD!$E$2:$E$1048791,MATCH($Q857,DFD!$B$2:$B$1048791,0)),"")</f>
        <v/>
      </c>
      <c r="X857" s="97" t="str">
        <f t="array" ref="X857">IFERROR(INDEX(DFD!$K$2:$K$1048791,MATCH($Q857,DFD!$B$2:$B$1048791,0)),"")</f>
        <v/>
      </c>
      <c r="Y857" s="97" t="str">
        <f t="array" ref="Y857">IFERROR(INDEX(DFD!$L$2:$L$1048790,MATCH($Q857,DFD!$B$2:$B$1048790,0)),"")</f>
        <v/>
      </c>
      <c r="Z857" s="97">
        <f t="shared" si="18"/>
        <v>45</v>
      </c>
      <c r="AA857" s="87"/>
      <c r="AB857" s="87" t="s">
        <v>288</v>
      </c>
      <c r="AC857" s="87"/>
      <c r="AD857" s="99">
        <v>46043.0</v>
      </c>
      <c r="AE857" s="100">
        <f t="shared" si="15"/>
        <v>1</v>
      </c>
    </row>
    <row r="858" ht="15.75" customHeight="1">
      <c r="A858" s="67" t="s">
        <v>2358</v>
      </c>
      <c r="B858" s="59" t="s">
        <v>184</v>
      </c>
      <c r="C858" s="60" t="s">
        <v>2359</v>
      </c>
      <c r="D858" s="60" t="s">
        <v>51</v>
      </c>
      <c r="E858" s="60">
        <v>30.0</v>
      </c>
      <c r="F858" s="72">
        <v>159.0</v>
      </c>
      <c r="G858" s="73" t="s">
        <v>53</v>
      </c>
      <c r="H858" s="74">
        <v>46143.0</v>
      </c>
      <c r="I858" s="67" t="s">
        <v>17</v>
      </c>
      <c r="J858" s="67" t="s">
        <v>54</v>
      </c>
      <c r="K858" s="67" t="s">
        <v>66</v>
      </c>
      <c r="L858" s="67" t="s">
        <v>67</v>
      </c>
      <c r="M858" s="73" t="s">
        <v>132</v>
      </c>
      <c r="N858" s="67" t="s">
        <v>20</v>
      </c>
      <c r="O858" s="59" t="s">
        <v>69</v>
      </c>
      <c r="P858" s="59"/>
      <c r="Q858" s="59" t="s">
        <v>800</v>
      </c>
      <c r="R858" s="76" t="s">
        <v>287</v>
      </c>
      <c r="S858" s="59"/>
      <c r="T858" s="59"/>
      <c r="U858" s="77" t="str">
        <f t="array" ref="U858">IFERROR(INDEX(DFD!$D$2:$D$1048791,MATCH($Q858,DFD!$B$2:$B$1048791,0)),"")</f>
        <v/>
      </c>
      <c r="V858" s="77" t="str">
        <f t="array" ref="V858">IFERROR(INDEX(DFD!$F$2:$F$1048791,MATCH($Q858,DFD!$B$2:$B$1048791,0)),"")</f>
        <v/>
      </c>
      <c r="W858" s="84" t="str">
        <f t="array" ref="W858">IFERROR(INDEX(DFD!$E$2:$E$1048791,MATCH($Q858,DFD!$B$2:$B$1048791,0)),"")</f>
        <v/>
      </c>
      <c r="X858" s="84" t="str">
        <f t="array" ref="X858">IFERROR(INDEX(DFD!$K$2:$K$1048791,MATCH($Q858,DFD!$B$2:$B$1048791,0)),"")</f>
        <v/>
      </c>
      <c r="Y858" s="84" t="str">
        <f t="array" ref="Y858">IFERROR(INDEX(DFD!$L$2:$L$1048790,MATCH($Q858,DFD!$B$2:$B$1048790,0)),"")</f>
        <v/>
      </c>
      <c r="Z858" s="84">
        <f t="shared" si="18"/>
        <v>45</v>
      </c>
      <c r="AA858" s="59"/>
      <c r="AB858" s="59" t="s">
        <v>78</v>
      </c>
      <c r="AC858" s="59"/>
      <c r="AD858" s="85">
        <v>46043.0</v>
      </c>
      <c r="AE858" s="86">
        <f t="shared" si="15"/>
        <v>1</v>
      </c>
    </row>
    <row r="859" ht="15.75" customHeight="1">
      <c r="A859" s="92" t="s">
        <v>2360</v>
      </c>
      <c r="B859" s="87" t="s">
        <v>184</v>
      </c>
      <c r="C859" s="88" t="s">
        <v>2361</v>
      </c>
      <c r="D859" s="88" t="s">
        <v>51</v>
      </c>
      <c r="E859" s="88">
        <v>30.0</v>
      </c>
      <c r="F859" s="89">
        <v>645.0</v>
      </c>
      <c r="G859" s="90" t="s">
        <v>53</v>
      </c>
      <c r="H859" s="91">
        <v>46174.0</v>
      </c>
      <c r="I859" s="92" t="s">
        <v>17</v>
      </c>
      <c r="J859" s="92" t="s">
        <v>54</v>
      </c>
      <c r="K859" s="92" t="s">
        <v>66</v>
      </c>
      <c r="L859" s="92" t="s">
        <v>67</v>
      </c>
      <c r="M859" s="90" t="s">
        <v>68</v>
      </c>
      <c r="N859" s="92" t="s">
        <v>20</v>
      </c>
      <c r="O859" s="92" t="s">
        <v>89</v>
      </c>
      <c r="P859" s="87"/>
      <c r="Q859" s="87" t="s">
        <v>800</v>
      </c>
      <c r="R859" s="93" t="s">
        <v>287</v>
      </c>
      <c r="S859" s="87"/>
      <c r="T859" s="87"/>
      <c r="U859" s="94" t="str">
        <f t="array" ref="U859">IFERROR(INDEX(DFD!$D$2:$D$1048791,MATCH($Q859,DFD!$B$2:$B$1048791,0)),"")</f>
        <v/>
      </c>
      <c r="V859" s="94" t="str">
        <f t="array" ref="V859">IFERROR(INDEX(DFD!$F$2:$F$1048791,MATCH($Q859,DFD!$B$2:$B$1048791,0)),"")</f>
        <v/>
      </c>
      <c r="W859" s="97" t="str">
        <f t="array" ref="W859">IFERROR(INDEX(DFD!$E$2:$E$1048791,MATCH($Q859,DFD!$B$2:$B$1048791,0)),"")</f>
        <v/>
      </c>
      <c r="X859" s="97" t="str">
        <f t="array" ref="X859">IFERROR(INDEX(DFD!$K$2:$K$1048791,MATCH($Q859,DFD!$B$2:$B$1048791,0)),"")</f>
        <v/>
      </c>
      <c r="Y859" s="97" t="str">
        <f t="array" ref="Y859">IFERROR(INDEX(DFD!$L$2:$L$1048790,MATCH($Q859,DFD!$B$2:$B$1048790,0)),"")</f>
        <v/>
      </c>
      <c r="Z859" s="97">
        <f t="shared" si="18"/>
        <v>45</v>
      </c>
      <c r="AA859" s="87"/>
      <c r="AB859" s="87" t="s">
        <v>78</v>
      </c>
      <c r="AC859" s="87"/>
      <c r="AD859" s="99">
        <v>46043.0</v>
      </c>
      <c r="AE859" s="100">
        <f t="shared" si="15"/>
        <v>1</v>
      </c>
    </row>
    <row r="860" ht="15.75" customHeight="1">
      <c r="A860" s="67" t="s">
        <v>2362</v>
      </c>
      <c r="B860" s="59" t="s">
        <v>184</v>
      </c>
      <c r="C860" s="60" t="s">
        <v>2363</v>
      </c>
      <c r="D860" s="60" t="s">
        <v>51</v>
      </c>
      <c r="E860" s="60">
        <v>30.0</v>
      </c>
      <c r="F860" s="72">
        <v>765.0</v>
      </c>
      <c r="G860" s="73" t="s">
        <v>53</v>
      </c>
      <c r="H860" s="74">
        <v>46174.0</v>
      </c>
      <c r="I860" s="67" t="s">
        <v>17</v>
      </c>
      <c r="J860" s="67" t="s">
        <v>54</v>
      </c>
      <c r="K860" s="67" t="s">
        <v>66</v>
      </c>
      <c r="L860" s="67" t="s">
        <v>67</v>
      </c>
      <c r="M860" s="73" t="s">
        <v>68</v>
      </c>
      <c r="N860" s="67" t="s">
        <v>20</v>
      </c>
      <c r="O860" s="59" t="s">
        <v>69</v>
      </c>
      <c r="P860" s="59"/>
      <c r="Q860" s="59" t="s">
        <v>800</v>
      </c>
      <c r="R860" s="76" t="s">
        <v>287</v>
      </c>
      <c r="S860" s="59"/>
      <c r="T860" s="59"/>
      <c r="U860" s="77" t="str">
        <f t="array" ref="U860">IFERROR(INDEX(DFD!$D$2:$D$1048791,MATCH($Q860,DFD!$B$2:$B$1048791,0)),"")</f>
        <v/>
      </c>
      <c r="V860" s="77" t="str">
        <f t="array" ref="V860">IFERROR(INDEX(DFD!$F$2:$F$1048791,MATCH($Q860,DFD!$B$2:$B$1048791,0)),"")</f>
        <v/>
      </c>
      <c r="W860" s="84" t="str">
        <f t="array" ref="W860">IFERROR(INDEX(DFD!$E$2:$E$1048791,MATCH($Q860,DFD!$B$2:$B$1048791,0)),"")</f>
        <v/>
      </c>
      <c r="X860" s="84" t="str">
        <f t="array" ref="X860">IFERROR(INDEX(DFD!$K$2:$K$1048791,MATCH($Q860,DFD!$B$2:$B$1048791,0)),"")</f>
        <v/>
      </c>
      <c r="Y860" s="84" t="str">
        <f t="array" ref="Y860">IFERROR(INDEX(DFD!$L$2:$L$1048790,MATCH($Q860,DFD!$B$2:$B$1048790,0)),"")</f>
        <v/>
      </c>
      <c r="Z860" s="84">
        <f t="shared" si="18"/>
        <v>45</v>
      </c>
      <c r="AA860" s="59"/>
      <c r="AB860" s="59" t="s">
        <v>78</v>
      </c>
      <c r="AC860" s="59"/>
      <c r="AD860" s="85">
        <v>46043.0</v>
      </c>
      <c r="AE860" s="86">
        <f t="shared" si="15"/>
        <v>1</v>
      </c>
    </row>
    <row r="861" ht="15.75" customHeight="1">
      <c r="A861" s="92" t="s">
        <v>2364</v>
      </c>
      <c r="B861" s="87" t="s">
        <v>184</v>
      </c>
      <c r="C861" s="88" t="s">
        <v>2365</v>
      </c>
      <c r="D861" s="88" t="s">
        <v>51</v>
      </c>
      <c r="E861" s="88">
        <v>30.0</v>
      </c>
      <c r="F861" s="89">
        <v>546.0</v>
      </c>
      <c r="G861" s="90" t="s">
        <v>53</v>
      </c>
      <c r="H861" s="91">
        <v>46174.0</v>
      </c>
      <c r="I861" s="92" t="s">
        <v>17</v>
      </c>
      <c r="J861" s="92" t="s">
        <v>54</v>
      </c>
      <c r="K861" s="92" t="s">
        <v>66</v>
      </c>
      <c r="L861" s="92" t="s">
        <v>67</v>
      </c>
      <c r="M861" s="90" t="s">
        <v>68</v>
      </c>
      <c r="N861" s="92" t="s">
        <v>20</v>
      </c>
      <c r="O861" s="87" t="s">
        <v>69</v>
      </c>
      <c r="P861" s="87"/>
      <c r="Q861" s="87" t="s">
        <v>286</v>
      </c>
      <c r="R861" s="93" t="s">
        <v>287</v>
      </c>
      <c r="S861" s="87"/>
      <c r="T861" s="87"/>
      <c r="U861" s="94" t="str">
        <f t="array" ref="U861">IFERROR(INDEX(DFD!$D$2:$D$1048791,MATCH($Q861,DFD!$B$2:$B$1048791,0)),"")</f>
        <v/>
      </c>
      <c r="V861" s="94" t="str">
        <f t="array" ref="V861">IFERROR(INDEX(DFD!$F$2:$F$1048791,MATCH($Q861,DFD!$B$2:$B$1048791,0)),"")</f>
        <v/>
      </c>
      <c r="W861" s="97" t="str">
        <f t="array" ref="W861">IFERROR(INDEX(DFD!$E$2:$E$1048791,MATCH($Q861,DFD!$B$2:$B$1048791,0)),"")</f>
        <v/>
      </c>
      <c r="X861" s="97" t="str">
        <f t="array" ref="X861">IFERROR(INDEX(DFD!$K$2:$K$1048791,MATCH($Q861,DFD!$B$2:$B$1048791,0)),"")</f>
        <v/>
      </c>
      <c r="Y861" s="97" t="str">
        <f t="array" ref="Y861">IFERROR(INDEX(DFD!$L$2:$L$1048790,MATCH($Q861,DFD!$B$2:$B$1048790,0)),"")</f>
        <v/>
      </c>
      <c r="Z861" s="97">
        <f t="shared" si="18"/>
        <v>45</v>
      </c>
      <c r="AA861" s="87"/>
      <c r="AB861" s="87" t="s">
        <v>288</v>
      </c>
      <c r="AC861" s="87"/>
      <c r="AD861" s="99">
        <v>46043.0</v>
      </c>
      <c r="AE861" s="100">
        <f t="shared" si="15"/>
        <v>1</v>
      </c>
    </row>
    <row r="862" ht="15.75" customHeight="1">
      <c r="A862" s="59" t="s">
        <v>2366</v>
      </c>
      <c r="B862" s="59" t="s">
        <v>101</v>
      </c>
      <c r="C862" s="60" t="s">
        <v>2367</v>
      </c>
      <c r="D862" s="60" t="s">
        <v>51</v>
      </c>
      <c r="E862" s="60">
        <v>4.0</v>
      </c>
      <c r="F862" s="72">
        <v>140.0</v>
      </c>
      <c r="G862" s="73" t="s">
        <v>53</v>
      </c>
      <c r="H862" s="74">
        <v>46143.0</v>
      </c>
      <c r="I862" s="67" t="s">
        <v>17</v>
      </c>
      <c r="J862" s="67" t="s">
        <v>54</v>
      </c>
      <c r="K862" s="67" t="s">
        <v>66</v>
      </c>
      <c r="L862" s="67" t="s">
        <v>56</v>
      </c>
      <c r="M862" s="73" t="s">
        <v>167</v>
      </c>
      <c r="N862" s="67" t="s">
        <v>58</v>
      </c>
      <c r="O862" s="67" t="s">
        <v>89</v>
      </c>
      <c r="P862" s="59"/>
      <c r="Q862" s="59" t="s">
        <v>118</v>
      </c>
      <c r="R862" s="76" t="s">
        <v>181</v>
      </c>
      <c r="S862" s="59"/>
      <c r="T862" s="59"/>
      <c r="U862" s="77" t="str">
        <f t="array" ref="U862">IFERROR(INDEX(DFD!$D$2:$D$1048791,MATCH($Q862,DFD!$B$2:$B$1048791,0)),"")</f>
        <v/>
      </c>
      <c r="V862" s="77" t="str">
        <f t="array" ref="V862">IFERROR(INDEX(DFD!$F$2:$F$1048791,MATCH($Q862,DFD!$B$2:$B$1048791,0)),"")</f>
        <v/>
      </c>
      <c r="W862" s="84" t="str">
        <f t="array" ref="W862">IFERROR(INDEX(DFD!$E$2:$E$1048791,MATCH($Q862,DFD!$B$2:$B$1048791,0)),"")</f>
        <v/>
      </c>
      <c r="X862" s="84" t="str">
        <f t="array" ref="X862">IFERROR(INDEX(DFD!$K$2:$K$1048791,MATCH($Q862,DFD!$B$2:$B$1048791,0)),"")</f>
        <v/>
      </c>
      <c r="Y862" s="84" t="str">
        <f t="array" ref="Y862">IFERROR(INDEX(DFD!$L$2:$L$1048790,MATCH($Q862,DFD!$B$2:$B$1048790,0)),"")</f>
        <v/>
      </c>
      <c r="Z862" s="84">
        <f t="shared" si="18"/>
        <v>45</v>
      </c>
      <c r="AA862" s="59"/>
      <c r="AB862" s="59" t="s">
        <v>78</v>
      </c>
      <c r="AC862" s="59"/>
      <c r="AD862" s="85">
        <v>46043.0</v>
      </c>
      <c r="AE862" s="86">
        <f t="shared" si="15"/>
        <v>1</v>
      </c>
    </row>
    <row r="863" ht="15.75" customHeight="1">
      <c r="A863" s="92" t="s">
        <v>2368</v>
      </c>
      <c r="B863" s="87" t="s">
        <v>81</v>
      </c>
      <c r="C863" s="88" t="s">
        <v>2369</v>
      </c>
      <c r="D863" s="88" t="s">
        <v>51</v>
      </c>
      <c r="E863" s="88">
        <v>3.0</v>
      </c>
      <c r="F863" s="89">
        <v>600.0</v>
      </c>
      <c r="G863" s="90" t="s">
        <v>53</v>
      </c>
      <c r="H863" s="91">
        <v>46174.0</v>
      </c>
      <c r="I863" s="92" t="s">
        <v>17</v>
      </c>
      <c r="J863" s="92" t="s">
        <v>54</v>
      </c>
      <c r="K863" s="92" t="s">
        <v>66</v>
      </c>
      <c r="L863" s="92" t="s">
        <v>56</v>
      </c>
      <c r="M863" s="90" t="s">
        <v>167</v>
      </c>
      <c r="N863" s="92" t="s">
        <v>20</v>
      </c>
      <c r="O863" s="87" t="s">
        <v>69</v>
      </c>
      <c r="P863" s="87"/>
      <c r="Q863" s="87" t="s">
        <v>118</v>
      </c>
      <c r="R863" s="93" t="s">
        <v>181</v>
      </c>
      <c r="S863" s="87"/>
      <c r="T863" s="87"/>
      <c r="U863" s="94" t="str">
        <f t="array" ref="U863">IFERROR(INDEX(DFD!$D$2:$D$1048791,MATCH($Q863,DFD!$B$2:$B$1048791,0)),"")</f>
        <v/>
      </c>
      <c r="V863" s="94" t="str">
        <f t="array" ref="V863">IFERROR(INDEX(DFD!$F$2:$F$1048791,MATCH($Q863,DFD!$B$2:$B$1048791,0)),"")</f>
        <v/>
      </c>
      <c r="W863" s="97" t="str">
        <f t="array" ref="W863">IFERROR(INDEX(DFD!$E$2:$E$1048791,MATCH($Q863,DFD!$B$2:$B$1048791,0)),"")</f>
        <v/>
      </c>
      <c r="X863" s="97" t="str">
        <f t="array" ref="X863">IFERROR(INDEX(DFD!$K$2:$K$1048791,MATCH($Q863,DFD!$B$2:$B$1048791,0)),"")</f>
        <v/>
      </c>
      <c r="Y863" s="97" t="str">
        <f t="array" ref="Y863">IFERROR(INDEX(DFD!$L$2:$L$1048790,MATCH($Q863,DFD!$B$2:$B$1048790,0)),"")</f>
        <v/>
      </c>
      <c r="Z863" s="97">
        <f t="shared" si="18"/>
        <v>45</v>
      </c>
      <c r="AA863" s="87"/>
      <c r="AB863" s="87" t="s">
        <v>78</v>
      </c>
      <c r="AC863" s="87"/>
      <c r="AD863" s="99">
        <v>46043.0</v>
      </c>
      <c r="AE863" s="100">
        <f t="shared" si="15"/>
        <v>1</v>
      </c>
    </row>
    <row r="864" ht="15.75" customHeight="1">
      <c r="A864" s="67" t="s">
        <v>2370</v>
      </c>
      <c r="B864" s="59" t="s">
        <v>184</v>
      </c>
      <c r="C864" s="60" t="s">
        <v>2371</v>
      </c>
      <c r="D864" s="60" t="s">
        <v>51</v>
      </c>
      <c r="E864" s="60">
        <v>1000.0</v>
      </c>
      <c r="F864" s="72">
        <v>3900.0</v>
      </c>
      <c r="G864" s="73" t="s">
        <v>53</v>
      </c>
      <c r="H864" s="74">
        <v>46174.0</v>
      </c>
      <c r="I864" s="67" t="s">
        <v>17</v>
      </c>
      <c r="J864" s="67" t="s">
        <v>54</v>
      </c>
      <c r="K864" s="67" t="s">
        <v>66</v>
      </c>
      <c r="L864" s="67" t="s">
        <v>67</v>
      </c>
      <c r="M864" s="73" t="s">
        <v>68</v>
      </c>
      <c r="N864" s="67" t="s">
        <v>20</v>
      </c>
      <c r="O864" s="59" t="s">
        <v>69</v>
      </c>
      <c r="P864" s="59"/>
      <c r="Q864" s="59" t="s">
        <v>191</v>
      </c>
      <c r="R864" s="76" t="s">
        <v>187</v>
      </c>
      <c r="S864" s="59"/>
      <c r="T864" s="59"/>
      <c r="U864" s="77" t="str">
        <f t="array" ref="U864">IFERROR(INDEX(DFD!$D$2:$D$1048791,MATCH($Q864,DFD!$B$2:$B$1048791,0)),"")</f>
        <v/>
      </c>
      <c r="V864" s="77" t="str">
        <f t="array" ref="V864">IFERROR(INDEX(DFD!$F$2:$F$1048791,MATCH($Q864,DFD!$B$2:$B$1048791,0)),"")</f>
        <v/>
      </c>
      <c r="W864" s="84" t="str">
        <f t="array" ref="W864">IFERROR(INDEX(DFD!$E$2:$E$1048791,MATCH($Q864,DFD!$B$2:$B$1048791,0)),"")</f>
        <v/>
      </c>
      <c r="X864" s="84" t="str">
        <f t="array" ref="X864">IFERROR(INDEX(DFD!$K$2:$K$1048791,MATCH($Q864,DFD!$B$2:$B$1048791,0)),"")</f>
        <v/>
      </c>
      <c r="Y864" s="84" t="str">
        <f t="array" ref="Y864">IFERROR(INDEX(DFD!$L$2:$L$1048790,MATCH($Q864,DFD!$B$2:$B$1048790,0)),"")</f>
        <v/>
      </c>
      <c r="Z864" s="84">
        <f t="shared" si="18"/>
        <v>45</v>
      </c>
      <c r="AA864" s="59"/>
      <c r="AB864" s="59" t="s">
        <v>78</v>
      </c>
      <c r="AC864" s="59"/>
      <c r="AD864" s="85">
        <v>46043.0</v>
      </c>
      <c r="AE864" s="86">
        <f t="shared" si="15"/>
        <v>1</v>
      </c>
    </row>
    <row r="865" ht="15.75" customHeight="1">
      <c r="A865" s="92" t="s">
        <v>2372</v>
      </c>
      <c r="B865" s="87" t="s">
        <v>184</v>
      </c>
      <c r="C865" s="88" t="s">
        <v>2373</v>
      </c>
      <c r="D865" s="88" t="s">
        <v>51</v>
      </c>
      <c r="E865" s="88">
        <v>30.0</v>
      </c>
      <c r="F865" s="89">
        <v>645.0</v>
      </c>
      <c r="G865" s="90" t="s">
        <v>53</v>
      </c>
      <c r="H865" s="91">
        <v>46174.0</v>
      </c>
      <c r="I865" s="92" t="s">
        <v>17</v>
      </c>
      <c r="J865" s="92" t="s">
        <v>54</v>
      </c>
      <c r="K865" s="92" t="s">
        <v>66</v>
      </c>
      <c r="L865" s="92" t="s">
        <v>67</v>
      </c>
      <c r="M865" s="90" t="s">
        <v>167</v>
      </c>
      <c r="N865" s="92" t="s">
        <v>20</v>
      </c>
      <c r="O865" s="92" t="s">
        <v>89</v>
      </c>
      <c r="P865" s="87"/>
      <c r="Q865" s="87" t="s">
        <v>286</v>
      </c>
      <c r="R865" s="93" t="s">
        <v>287</v>
      </c>
      <c r="S865" s="87"/>
      <c r="T865" s="87"/>
      <c r="U865" s="94" t="str">
        <f t="array" ref="U865">IFERROR(INDEX(DFD!$D$2:$D$1048791,MATCH($Q865,DFD!$B$2:$B$1048791,0)),"")</f>
        <v/>
      </c>
      <c r="V865" s="94" t="str">
        <f t="array" ref="V865">IFERROR(INDEX(DFD!$F$2:$F$1048791,MATCH($Q865,DFD!$B$2:$B$1048791,0)),"")</f>
        <v/>
      </c>
      <c r="W865" s="97" t="str">
        <f t="array" ref="W865">IFERROR(INDEX(DFD!$E$2:$E$1048791,MATCH($Q865,DFD!$B$2:$B$1048791,0)),"")</f>
        <v/>
      </c>
      <c r="X865" s="97" t="str">
        <f t="array" ref="X865">IFERROR(INDEX(DFD!$K$2:$K$1048791,MATCH($Q865,DFD!$B$2:$B$1048791,0)),"")</f>
        <v/>
      </c>
      <c r="Y865" s="97" t="str">
        <f t="array" ref="Y865">IFERROR(INDEX(DFD!$L$2:$L$1048790,MATCH($Q865,DFD!$B$2:$B$1048790,0)),"")</f>
        <v/>
      </c>
      <c r="Z865" s="97">
        <f t="shared" si="18"/>
        <v>45</v>
      </c>
      <c r="AA865" s="87"/>
      <c r="AB865" s="87" t="s">
        <v>288</v>
      </c>
      <c r="AC865" s="87"/>
      <c r="AD865" s="99">
        <v>46043.0</v>
      </c>
      <c r="AE865" s="100">
        <f t="shared" si="15"/>
        <v>1</v>
      </c>
    </row>
    <row r="866" ht="15.75" customHeight="1">
      <c r="A866" s="59" t="s">
        <v>2374</v>
      </c>
      <c r="B866" s="59" t="s">
        <v>101</v>
      </c>
      <c r="C866" s="60" t="s">
        <v>2375</v>
      </c>
      <c r="D866" s="60" t="s">
        <v>51</v>
      </c>
      <c r="E866" s="60">
        <v>30.0</v>
      </c>
      <c r="F866" s="72">
        <v>1050.0</v>
      </c>
      <c r="G866" s="73" t="s">
        <v>53</v>
      </c>
      <c r="H866" s="74">
        <v>46174.0</v>
      </c>
      <c r="I866" s="67" t="s">
        <v>17</v>
      </c>
      <c r="J866" s="67" t="s">
        <v>54</v>
      </c>
      <c r="K866" s="67" t="s">
        <v>66</v>
      </c>
      <c r="L866" s="67" t="s">
        <v>56</v>
      </c>
      <c r="M866" s="73" t="s">
        <v>104</v>
      </c>
      <c r="N866" s="67" t="s">
        <v>58</v>
      </c>
      <c r="O866" s="59" t="s">
        <v>69</v>
      </c>
      <c r="P866" s="59"/>
      <c r="Q866" s="59">
        <v>2025.0</v>
      </c>
      <c r="R866" s="76" t="s">
        <v>71</v>
      </c>
      <c r="S866" s="59"/>
      <c r="T866" s="59"/>
      <c r="U866" s="77" t="s">
        <v>2376</v>
      </c>
      <c r="V866" s="59" t="s">
        <v>81</v>
      </c>
      <c r="W866" s="84" t="str">
        <f t="array" ref="W866">IFERROR(INDEX(DFD!$E$2:$E$1048791,MATCH($Q866,DFD!$B$2:$B$1048791,0)),"")</f>
        <v/>
      </c>
      <c r="X866" s="84" t="str">
        <f t="array" ref="X866">IFERROR(INDEX(DFD!$K$2:$K$1048791,MATCH($Q866,DFD!$B$2:$B$1048791,0)),"")</f>
        <v/>
      </c>
      <c r="Y866" s="84" t="str">
        <f t="array" ref="Y866">IFERROR(INDEX(DFD!$L$2:$L$1048790,MATCH($Q866,DFD!$B$2:$B$1048790,0)),"")</f>
        <v/>
      </c>
      <c r="Z866" s="84">
        <f t="shared" si="18"/>
        <v>45</v>
      </c>
      <c r="AA866" s="59"/>
      <c r="AB866" s="59" t="s">
        <v>78</v>
      </c>
      <c r="AC866" s="59"/>
      <c r="AD866" s="85">
        <v>46043.0</v>
      </c>
      <c r="AE866" s="86">
        <f t="shared" si="15"/>
        <v>1</v>
      </c>
    </row>
    <row r="867" ht="15.75" customHeight="1">
      <c r="A867" s="87" t="s">
        <v>2377</v>
      </c>
      <c r="B867" s="87" t="s">
        <v>172</v>
      </c>
      <c r="C867" s="88" t="s">
        <v>2375</v>
      </c>
      <c r="D867" s="88" t="s">
        <v>51</v>
      </c>
      <c r="E867" s="88">
        <v>30.0</v>
      </c>
      <c r="F867" s="89">
        <v>1050.0</v>
      </c>
      <c r="G867" s="90" t="s">
        <v>53</v>
      </c>
      <c r="H867" s="91">
        <v>46174.0</v>
      </c>
      <c r="I867" s="92" t="s">
        <v>17</v>
      </c>
      <c r="J867" s="92" t="s">
        <v>54</v>
      </c>
      <c r="K867" s="92" t="s">
        <v>66</v>
      </c>
      <c r="L867" s="92" t="s">
        <v>67</v>
      </c>
      <c r="M867" s="90" t="s">
        <v>132</v>
      </c>
      <c r="N867" s="92" t="s">
        <v>5</v>
      </c>
      <c r="O867" s="87" t="s">
        <v>69</v>
      </c>
      <c r="P867" s="87"/>
      <c r="Q867" s="87">
        <v>2025.0</v>
      </c>
      <c r="R867" s="93" t="s">
        <v>71</v>
      </c>
      <c r="S867" s="87"/>
      <c r="T867" s="87"/>
      <c r="U867" s="94" t="s">
        <v>2376</v>
      </c>
      <c r="V867" s="87" t="s">
        <v>81</v>
      </c>
      <c r="W867" s="97" t="str">
        <f t="array" ref="W867">IFERROR(INDEX(DFD!$E$2:$E$1048791,MATCH($Q867,DFD!$B$2:$B$1048791,0)),"")</f>
        <v/>
      </c>
      <c r="X867" s="97" t="str">
        <f t="array" ref="X867">IFERROR(INDEX(DFD!$K$2:$K$1048791,MATCH($Q867,DFD!$B$2:$B$1048791,0)),"")</f>
        <v/>
      </c>
      <c r="Y867" s="97" t="str">
        <f t="array" ref="Y867">IFERROR(INDEX(DFD!$L$2:$L$1048790,MATCH($Q867,DFD!$B$2:$B$1048790,0)),"")</f>
        <v/>
      </c>
      <c r="Z867" s="97">
        <f t="shared" si="18"/>
        <v>45</v>
      </c>
      <c r="AA867" s="87"/>
      <c r="AB867" s="87" t="s">
        <v>78</v>
      </c>
      <c r="AC867" s="87"/>
      <c r="AD867" s="99">
        <v>46043.0</v>
      </c>
      <c r="AE867" s="100">
        <f t="shared" si="15"/>
        <v>1</v>
      </c>
    </row>
    <row r="868" ht="15.75" customHeight="1">
      <c r="A868" s="59" t="s">
        <v>2378</v>
      </c>
      <c r="B868" s="59" t="s">
        <v>171</v>
      </c>
      <c r="C868" s="60" t="s">
        <v>2375</v>
      </c>
      <c r="D868" s="60" t="s">
        <v>51</v>
      </c>
      <c r="E868" s="60">
        <v>24.0</v>
      </c>
      <c r="F868" s="72">
        <v>840.0</v>
      </c>
      <c r="G868" s="73" t="s">
        <v>53</v>
      </c>
      <c r="H868" s="74">
        <v>46174.0</v>
      </c>
      <c r="I868" s="67" t="s">
        <v>17</v>
      </c>
      <c r="J868" s="67" t="s">
        <v>54</v>
      </c>
      <c r="K868" s="67" t="s">
        <v>66</v>
      </c>
      <c r="L868" s="67" t="s">
        <v>67</v>
      </c>
      <c r="M868" s="73" t="s">
        <v>132</v>
      </c>
      <c r="N868" s="67" t="s">
        <v>5</v>
      </c>
      <c r="O868" s="67" t="s">
        <v>89</v>
      </c>
      <c r="P868" s="59"/>
      <c r="Q868" s="59">
        <v>2025.0</v>
      </c>
      <c r="R868" s="76" t="s">
        <v>71</v>
      </c>
      <c r="S868" s="59"/>
      <c r="T868" s="59"/>
      <c r="U868" s="77" t="s">
        <v>2376</v>
      </c>
      <c r="V868" s="59" t="s">
        <v>81</v>
      </c>
      <c r="W868" s="84" t="str">
        <f t="array" ref="W868">IFERROR(INDEX(DFD!$E$2:$E$1048791,MATCH($Q868,DFD!$B$2:$B$1048791,0)),"")</f>
        <v/>
      </c>
      <c r="X868" s="84" t="str">
        <f t="array" ref="X868">IFERROR(INDEX(DFD!$K$2:$K$1048791,MATCH($Q868,DFD!$B$2:$B$1048791,0)),"")</f>
        <v/>
      </c>
      <c r="Y868" s="84" t="str">
        <f t="array" ref="Y868">IFERROR(INDEX(DFD!$L$2:$L$1048790,MATCH($Q868,DFD!$B$2:$B$1048790,0)),"")</f>
        <v/>
      </c>
      <c r="Z868" s="84">
        <f t="shared" si="18"/>
        <v>45</v>
      </c>
      <c r="AA868" s="59"/>
      <c r="AB868" s="59" t="s">
        <v>78</v>
      </c>
      <c r="AC868" s="59"/>
      <c r="AD868" s="85">
        <v>46043.0</v>
      </c>
      <c r="AE868" s="86">
        <f t="shared" si="15"/>
        <v>1</v>
      </c>
    </row>
    <row r="869" ht="15.75" customHeight="1">
      <c r="A869" s="87" t="s">
        <v>2379</v>
      </c>
      <c r="B869" s="87" t="s">
        <v>92</v>
      </c>
      <c r="C869" s="88" t="s">
        <v>2375</v>
      </c>
      <c r="D869" s="88" t="s">
        <v>51</v>
      </c>
      <c r="E869" s="88">
        <v>15.0</v>
      </c>
      <c r="F869" s="89">
        <v>525.0</v>
      </c>
      <c r="G869" s="90" t="s">
        <v>53</v>
      </c>
      <c r="H869" s="91">
        <v>46174.0</v>
      </c>
      <c r="I869" s="92" t="s">
        <v>17</v>
      </c>
      <c r="J869" s="92" t="s">
        <v>54</v>
      </c>
      <c r="K869" s="92" t="s">
        <v>66</v>
      </c>
      <c r="L869" s="92" t="s">
        <v>67</v>
      </c>
      <c r="M869" s="90" t="s">
        <v>132</v>
      </c>
      <c r="N869" s="92" t="s">
        <v>5</v>
      </c>
      <c r="O869" s="87" t="s">
        <v>69</v>
      </c>
      <c r="P869" s="87"/>
      <c r="Q869" s="87">
        <v>2025.0</v>
      </c>
      <c r="R869" s="179"/>
      <c r="S869" s="87"/>
      <c r="T869" s="87"/>
      <c r="U869" s="94" t="s">
        <v>2376</v>
      </c>
      <c r="V869" s="87" t="s">
        <v>81</v>
      </c>
      <c r="W869" s="97" t="str">
        <f t="array" ref="W869">IFERROR(INDEX(DFD!$E$2:$E$1048791,MATCH($Q869,DFD!$B$2:$B$1048791,0)),"")</f>
        <v/>
      </c>
      <c r="X869" s="97" t="str">
        <f t="array" ref="X869">IFERROR(INDEX(DFD!$K$2:$K$1048791,MATCH($Q869,DFD!$B$2:$B$1048791,0)),"")</f>
        <v/>
      </c>
      <c r="Y869" s="97" t="str">
        <f t="array" ref="Y869">IFERROR(INDEX(DFD!$L$2:$L$1048790,MATCH($Q869,DFD!$B$2:$B$1048790,0)),"")</f>
        <v/>
      </c>
      <c r="Z869" s="97">
        <f t="shared" si="18"/>
        <v>45</v>
      </c>
      <c r="AA869" s="87"/>
      <c r="AB869" s="87" t="s">
        <v>78</v>
      </c>
      <c r="AC869" s="87"/>
      <c r="AD869" s="99">
        <v>46043.0</v>
      </c>
      <c r="AE869" s="100">
        <f>SUBTOTAL(103, M868)</f>
        <v>1</v>
      </c>
    </row>
    <row r="870" ht="15.75" customHeight="1">
      <c r="A870" s="59" t="s">
        <v>2380</v>
      </c>
      <c r="B870" s="59" t="s">
        <v>95</v>
      </c>
      <c r="C870" s="60" t="s">
        <v>2381</v>
      </c>
      <c r="D870" s="60" t="s">
        <v>51</v>
      </c>
      <c r="E870" s="60">
        <v>20.0</v>
      </c>
      <c r="F870" s="72">
        <v>700.0</v>
      </c>
      <c r="G870" s="73" t="s">
        <v>53</v>
      </c>
      <c r="H870" s="74">
        <v>46174.0</v>
      </c>
      <c r="I870" s="67" t="s">
        <v>17</v>
      </c>
      <c r="J870" s="67" t="s">
        <v>54</v>
      </c>
      <c r="K870" s="67" t="s">
        <v>66</v>
      </c>
      <c r="L870" s="67" t="s">
        <v>67</v>
      </c>
      <c r="M870" s="73" t="s">
        <v>132</v>
      </c>
      <c r="N870" s="67" t="s">
        <v>5</v>
      </c>
      <c r="O870" s="59" t="s">
        <v>69</v>
      </c>
      <c r="P870" s="59"/>
      <c r="Q870" s="59">
        <v>2025.0</v>
      </c>
      <c r="R870" s="76" t="s">
        <v>71</v>
      </c>
      <c r="S870" s="59"/>
      <c r="T870" s="59"/>
      <c r="U870" s="77" t="s">
        <v>2376</v>
      </c>
      <c r="V870" s="59" t="s">
        <v>81</v>
      </c>
      <c r="W870" s="84" t="str">
        <f t="array" ref="W870">IFERROR(INDEX(DFD!$E$2:$E$1048791,MATCH($Q870,DFD!$B$2:$B$1048791,0)),"")</f>
        <v/>
      </c>
      <c r="X870" s="84" t="str">
        <f t="array" ref="X870">IFERROR(INDEX(DFD!$K$2:$K$1048791,MATCH($Q870,DFD!$B$2:$B$1048791,0)),"")</f>
        <v/>
      </c>
      <c r="Y870" s="84" t="str">
        <f t="array" ref="Y870">IFERROR(INDEX(DFD!$L$2:$L$1048790,MATCH($Q870,DFD!$B$2:$B$1048790,0)),"")</f>
        <v/>
      </c>
      <c r="Z870" s="84">
        <f t="shared" si="18"/>
        <v>45</v>
      </c>
      <c r="AA870" s="59"/>
      <c r="AB870" s="59" t="s">
        <v>78</v>
      </c>
      <c r="AC870" s="59"/>
      <c r="AD870" s="85">
        <v>46043.0</v>
      </c>
      <c r="AE870" s="86">
        <f t="shared" ref="AE870:AE1117" si="19">SUBTOTAL(103, R870)</f>
        <v>1</v>
      </c>
    </row>
    <row r="871" ht="15.75" customHeight="1">
      <c r="A871" s="87" t="s">
        <v>2382</v>
      </c>
      <c r="B871" s="87" t="s">
        <v>94</v>
      </c>
      <c r="C871" s="88" t="s">
        <v>2381</v>
      </c>
      <c r="D871" s="88" t="s">
        <v>51</v>
      </c>
      <c r="E871" s="88">
        <v>20.0</v>
      </c>
      <c r="F871" s="89">
        <v>700.0</v>
      </c>
      <c r="G871" s="90" t="s">
        <v>53</v>
      </c>
      <c r="H871" s="91">
        <v>46174.0</v>
      </c>
      <c r="I871" s="92" t="s">
        <v>17</v>
      </c>
      <c r="J871" s="92" t="s">
        <v>54</v>
      </c>
      <c r="K871" s="92" t="s">
        <v>66</v>
      </c>
      <c r="L871" s="92" t="s">
        <v>67</v>
      </c>
      <c r="M871" s="90" t="s">
        <v>132</v>
      </c>
      <c r="N871" s="92" t="s">
        <v>5</v>
      </c>
      <c r="O871" s="92" t="s">
        <v>89</v>
      </c>
      <c r="P871" s="87"/>
      <c r="Q871" s="87">
        <v>2025.0</v>
      </c>
      <c r="R871" s="93" t="s">
        <v>71</v>
      </c>
      <c r="S871" s="87"/>
      <c r="T871" s="87"/>
      <c r="U871" s="94" t="s">
        <v>2376</v>
      </c>
      <c r="V871" s="87" t="s">
        <v>81</v>
      </c>
      <c r="W871" s="97" t="str">
        <f t="array" ref="W871">IFERROR(INDEX(DFD!$E$2:$E$1048791,MATCH($Q871,DFD!$B$2:$B$1048791,0)),"")</f>
        <v/>
      </c>
      <c r="X871" s="97" t="str">
        <f t="array" ref="X871">IFERROR(INDEX(DFD!$K$2:$K$1048791,MATCH($Q871,DFD!$B$2:$B$1048791,0)),"")</f>
        <v/>
      </c>
      <c r="Y871" s="97" t="str">
        <f t="array" ref="Y871">IFERROR(INDEX(DFD!$L$2:$L$1048790,MATCH($Q871,DFD!$B$2:$B$1048790,0)),"")</f>
        <v/>
      </c>
      <c r="Z871" s="97">
        <f t="shared" si="18"/>
        <v>45</v>
      </c>
      <c r="AA871" s="87"/>
      <c r="AB871" s="87" t="s">
        <v>78</v>
      </c>
      <c r="AC871" s="87"/>
      <c r="AD871" s="99">
        <v>46043.0</v>
      </c>
      <c r="AE871" s="100">
        <f t="shared" si="19"/>
        <v>1</v>
      </c>
    </row>
    <row r="872" ht="15.75" customHeight="1">
      <c r="A872" s="67" t="s">
        <v>2383</v>
      </c>
      <c r="B872" s="71" t="s">
        <v>98</v>
      </c>
      <c r="C872" s="60" t="s">
        <v>2384</v>
      </c>
      <c r="D872" s="60" t="s">
        <v>51</v>
      </c>
      <c r="E872" s="60">
        <v>7.0</v>
      </c>
      <c r="F872" s="72">
        <v>2100.0</v>
      </c>
      <c r="G872" s="73" t="s">
        <v>53</v>
      </c>
      <c r="H872" s="74">
        <v>46174.0</v>
      </c>
      <c r="I872" s="67" t="s">
        <v>17</v>
      </c>
      <c r="J872" s="67" t="s">
        <v>54</v>
      </c>
      <c r="K872" s="67" t="s">
        <v>66</v>
      </c>
      <c r="L872" s="67" t="s">
        <v>56</v>
      </c>
      <c r="M872" s="73" t="s">
        <v>104</v>
      </c>
      <c r="N872" s="67" t="s">
        <v>20</v>
      </c>
      <c r="O872" s="59" t="s">
        <v>69</v>
      </c>
      <c r="P872" s="59"/>
      <c r="Q872" s="59" t="s">
        <v>1356</v>
      </c>
      <c r="R872" s="76" t="s">
        <v>1027</v>
      </c>
      <c r="S872" s="59"/>
      <c r="T872" s="59"/>
      <c r="U872" s="77" t="str">
        <f t="array" ref="U872">IFERROR(INDEX(DFD!$D$2:$D$1048791,MATCH($Q872,DFD!$B$2:$B$1048791,0)),"")</f>
        <v/>
      </c>
      <c r="V872" s="77" t="s">
        <v>280</v>
      </c>
      <c r="W872" s="84" t="str">
        <f t="array" ref="W872">IFERROR(INDEX(DFD!$E$2:$E$1048791,MATCH($Q872,DFD!$B$2:$B$1048791,0)),"")</f>
        <v/>
      </c>
      <c r="X872" s="84" t="str">
        <f t="array" ref="X872">IFERROR(INDEX(DFD!$K$2:$K$1048791,MATCH($Q872,DFD!$B$2:$B$1048791,0)),"")</f>
        <v/>
      </c>
      <c r="Y872" s="84" t="str">
        <f t="array" ref="Y872">IFERROR(INDEX(DFD!$L$2:$L$1048790,MATCH($Q872,DFD!$B$2:$B$1048790,0)),"")</f>
        <v/>
      </c>
      <c r="Z872" s="84">
        <f t="shared" si="18"/>
        <v>45</v>
      </c>
      <c r="AA872" s="59"/>
      <c r="AB872" s="59" t="s">
        <v>78</v>
      </c>
      <c r="AC872" s="59"/>
      <c r="AD872" s="85">
        <v>46043.0</v>
      </c>
      <c r="AE872" s="86">
        <f t="shared" si="19"/>
        <v>1</v>
      </c>
    </row>
    <row r="873" ht="15.75" customHeight="1">
      <c r="A873" s="92"/>
      <c r="B873" s="87" t="s">
        <v>52</v>
      </c>
      <c r="C873" s="88" t="s">
        <v>1145</v>
      </c>
      <c r="D873" s="88" t="s">
        <v>51</v>
      </c>
      <c r="E873" s="88">
        <v>1.0</v>
      </c>
      <c r="F873" s="89">
        <v>143535.0</v>
      </c>
      <c r="G873" s="90" t="s">
        <v>53</v>
      </c>
      <c r="H873" s="91">
        <v>46234.0</v>
      </c>
      <c r="I873" s="92" t="s">
        <v>17</v>
      </c>
      <c r="J873" s="92" t="s">
        <v>54</v>
      </c>
      <c r="K873" s="92" t="s">
        <v>1147</v>
      </c>
      <c r="L873" s="92" t="s">
        <v>67</v>
      </c>
      <c r="M873" s="90" t="s">
        <v>132</v>
      </c>
      <c r="N873" s="92" t="s">
        <v>20</v>
      </c>
      <c r="O873" s="87" t="s">
        <v>69</v>
      </c>
      <c r="P873" s="87"/>
      <c r="Q873" s="87"/>
      <c r="R873" s="88" t="s">
        <v>1145</v>
      </c>
      <c r="S873" s="87"/>
      <c r="T873" s="87"/>
      <c r="U873" s="94" t="str">
        <f t="array" ref="U873">IFERROR(INDEX(DFD!$D$2:$D$1048791,MATCH($Q873,DFD!$B$2:$B$1048791,0)),"")</f>
        <v/>
      </c>
      <c r="V873" s="94" t="str">
        <f t="array" ref="V873">IFERROR(INDEX(DFD!$F$2:$F$1048791,MATCH($Q873,DFD!$B$2:$B$1048791,0)),"")</f>
        <v/>
      </c>
      <c r="W873" s="97" t="str">
        <f t="array" ref="W873">IFERROR(INDEX(DFD!$E$2:$E$1048791,MATCH($Q873,DFD!$B$2:$B$1048791,0)),"")</f>
        <v/>
      </c>
      <c r="X873" s="97" t="str">
        <f t="array" ref="X873">IFERROR(INDEX(DFD!$K$2:$K$1048791,MATCH($Q873,DFD!$B$2:$B$1048791,0)),"")</f>
        <v/>
      </c>
      <c r="Y873" s="97" t="str">
        <f t="array" ref="Y873">IFERROR(INDEX(DFD!$L$2:$L$1048790,MATCH($Q873,DFD!$B$2:$B$1048790,0)),"")</f>
        <v/>
      </c>
      <c r="Z873" s="97">
        <f t="shared" si="18"/>
        <v>45</v>
      </c>
      <c r="AA873" s="87"/>
      <c r="AB873" s="87" t="s">
        <v>72</v>
      </c>
      <c r="AC873" s="87"/>
      <c r="AD873" s="99"/>
      <c r="AE873" s="100">
        <f t="shared" si="19"/>
        <v>1</v>
      </c>
    </row>
    <row r="874" ht="15.75" customHeight="1">
      <c r="A874" s="59" t="s">
        <v>2385</v>
      </c>
      <c r="B874" s="59" t="s">
        <v>101</v>
      </c>
      <c r="C874" s="60" t="s">
        <v>2386</v>
      </c>
      <c r="D874" s="60" t="s">
        <v>51</v>
      </c>
      <c r="E874" s="60">
        <v>20.0</v>
      </c>
      <c r="F874" s="72">
        <v>400.0</v>
      </c>
      <c r="G874" s="73" t="s">
        <v>53</v>
      </c>
      <c r="H874" s="74">
        <v>46174.0</v>
      </c>
      <c r="I874" s="67" t="s">
        <v>17</v>
      </c>
      <c r="J874" s="67" t="s">
        <v>54</v>
      </c>
      <c r="K874" s="67" t="s">
        <v>66</v>
      </c>
      <c r="L874" s="67" t="s">
        <v>56</v>
      </c>
      <c r="M874" s="73" t="s">
        <v>132</v>
      </c>
      <c r="N874" s="67" t="s">
        <v>58</v>
      </c>
      <c r="O874" s="67" t="s">
        <v>89</v>
      </c>
      <c r="P874" s="59"/>
      <c r="Q874" s="59" t="s">
        <v>351</v>
      </c>
      <c r="R874" s="76" t="s">
        <v>1631</v>
      </c>
      <c r="S874" s="59"/>
      <c r="T874" s="59"/>
      <c r="U874" s="77" t="str">
        <f t="array" ref="U874">IFERROR(INDEX(DFD!$D$2:$D$1048791,MATCH($Q874,DFD!$B$2:$B$1048791,0)),"")</f>
        <v/>
      </c>
      <c r="V874" s="77" t="s">
        <v>280</v>
      </c>
      <c r="W874" s="84" t="str">
        <f t="array" ref="W874">IFERROR(INDEX(DFD!$E$2:$E$1048791,MATCH($Q874,DFD!$B$2:$B$1048791,0)),"")</f>
        <v/>
      </c>
      <c r="X874" s="84" t="str">
        <f t="array" ref="X874">IFERROR(INDEX(DFD!$K$2:$K$1048791,MATCH($Q874,DFD!$B$2:$B$1048791,0)),"")</f>
        <v/>
      </c>
      <c r="Y874" s="84" t="str">
        <f t="array" ref="Y874">IFERROR(INDEX(DFD!$L$2:$L$1048790,MATCH($Q874,DFD!$B$2:$B$1048790,0)),"")</f>
        <v/>
      </c>
      <c r="Z874" s="84">
        <f t="shared" si="18"/>
        <v>45</v>
      </c>
      <c r="AA874" s="59"/>
      <c r="AB874" s="59" t="s">
        <v>78</v>
      </c>
      <c r="AC874" s="59"/>
      <c r="AD874" s="85">
        <v>46043.0</v>
      </c>
      <c r="AE874" s="86">
        <f t="shared" si="19"/>
        <v>1</v>
      </c>
    </row>
    <row r="875" ht="15.75" customHeight="1">
      <c r="A875" s="92" t="s">
        <v>2387</v>
      </c>
      <c r="B875" s="87" t="s">
        <v>184</v>
      </c>
      <c r="C875" s="88" t="s">
        <v>2388</v>
      </c>
      <c r="D875" s="88" t="s">
        <v>2389</v>
      </c>
      <c r="E875" s="88">
        <v>400.0</v>
      </c>
      <c r="F875" s="89">
        <v>4000.0</v>
      </c>
      <c r="G875" s="90" t="s">
        <v>53</v>
      </c>
      <c r="H875" s="91">
        <v>46204.0</v>
      </c>
      <c r="I875" s="92" t="s">
        <v>17</v>
      </c>
      <c r="J875" s="92" t="s">
        <v>54</v>
      </c>
      <c r="K875" s="92" t="s">
        <v>66</v>
      </c>
      <c r="L875" s="92" t="s">
        <v>67</v>
      </c>
      <c r="M875" s="90" t="s">
        <v>68</v>
      </c>
      <c r="N875" s="92" t="s">
        <v>20</v>
      </c>
      <c r="O875" s="87" t="s">
        <v>69</v>
      </c>
      <c r="P875" s="87"/>
      <c r="Q875" s="87" t="s">
        <v>286</v>
      </c>
      <c r="R875" s="93" t="s">
        <v>287</v>
      </c>
      <c r="S875" s="87"/>
      <c r="T875" s="87"/>
      <c r="U875" s="94" t="str">
        <f t="array" ref="U875">IFERROR(INDEX(DFD!$D$2:$D$1048791,MATCH($Q875,DFD!$B$2:$B$1048791,0)),"")</f>
        <v/>
      </c>
      <c r="V875" s="94" t="str">
        <f t="array" ref="V875">IFERROR(INDEX(DFD!$F$2:$F$1048791,MATCH($Q875,DFD!$B$2:$B$1048791,0)),"")</f>
        <v/>
      </c>
      <c r="W875" s="97" t="str">
        <f t="array" ref="W875">IFERROR(INDEX(DFD!$E$2:$E$1048791,MATCH($Q875,DFD!$B$2:$B$1048791,0)),"")</f>
        <v/>
      </c>
      <c r="X875" s="97" t="str">
        <f t="array" ref="X875">IFERROR(INDEX(DFD!$K$2:$K$1048791,MATCH($Q875,DFD!$B$2:$B$1048791,0)),"")</f>
        <v/>
      </c>
      <c r="Y875" s="97" t="str">
        <f t="array" ref="Y875">IFERROR(INDEX(DFD!$L$2:$L$1048790,MATCH($Q875,DFD!$B$2:$B$1048790,0)),"")</f>
        <v/>
      </c>
      <c r="Z875" s="97">
        <f t="shared" si="18"/>
        <v>45</v>
      </c>
      <c r="AA875" s="87"/>
      <c r="AB875" s="87" t="s">
        <v>288</v>
      </c>
      <c r="AC875" s="87"/>
      <c r="AD875" s="99">
        <v>46043.0</v>
      </c>
      <c r="AE875" s="100">
        <f t="shared" si="19"/>
        <v>1</v>
      </c>
    </row>
    <row r="876" ht="15.75" customHeight="1">
      <c r="A876" s="67" t="s">
        <v>2390</v>
      </c>
      <c r="B876" s="59" t="s">
        <v>184</v>
      </c>
      <c r="C876" s="60" t="s">
        <v>2391</v>
      </c>
      <c r="D876" s="60" t="s">
        <v>2389</v>
      </c>
      <c r="E876" s="60">
        <v>400.0</v>
      </c>
      <c r="F876" s="72">
        <v>4000.0</v>
      </c>
      <c r="G876" s="73" t="s">
        <v>53</v>
      </c>
      <c r="H876" s="74">
        <v>46204.0</v>
      </c>
      <c r="I876" s="67" t="s">
        <v>17</v>
      </c>
      <c r="J876" s="67" t="s">
        <v>54</v>
      </c>
      <c r="K876" s="67" t="s">
        <v>66</v>
      </c>
      <c r="L876" s="67" t="s">
        <v>67</v>
      </c>
      <c r="M876" s="73" t="s">
        <v>68</v>
      </c>
      <c r="N876" s="67" t="s">
        <v>20</v>
      </c>
      <c r="O876" s="59" t="s">
        <v>69</v>
      </c>
      <c r="P876" s="59"/>
      <c r="Q876" s="59" t="s">
        <v>286</v>
      </c>
      <c r="R876" s="76" t="s">
        <v>287</v>
      </c>
      <c r="S876" s="59"/>
      <c r="T876" s="59"/>
      <c r="U876" s="77" t="str">
        <f t="array" ref="U876">IFERROR(INDEX(DFD!$D$2:$D$1048791,MATCH($Q876,DFD!$B$2:$B$1048791,0)),"")</f>
        <v/>
      </c>
      <c r="V876" s="77" t="str">
        <f t="array" ref="V876">IFERROR(INDEX(DFD!$F$2:$F$1048791,MATCH($Q876,DFD!$B$2:$B$1048791,0)),"")</f>
        <v/>
      </c>
      <c r="W876" s="84" t="str">
        <f t="array" ref="W876">IFERROR(INDEX(DFD!$E$2:$E$1048791,MATCH($Q876,DFD!$B$2:$B$1048791,0)),"")</f>
        <v/>
      </c>
      <c r="X876" s="84" t="str">
        <f t="array" ref="X876">IFERROR(INDEX(DFD!$K$2:$K$1048791,MATCH($Q876,DFD!$B$2:$B$1048791,0)),"")</f>
        <v/>
      </c>
      <c r="Y876" s="84" t="str">
        <f t="array" ref="Y876">IFERROR(INDEX(DFD!$L$2:$L$1048790,MATCH($Q876,DFD!$B$2:$B$1048790,0)),"")</f>
        <v/>
      </c>
      <c r="Z876" s="84">
        <f t="shared" si="18"/>
        <v>45</v>
      </c>
      <c r="AA876" s="59"/>
      <c r="AB876" s="59" t="s">
        <v>288</v>
      </c>
      <c r="AC876" s="59"/>
      <c r="AD876" s="85">
        <v>46043.0</v>
      </c>
      <c r="AE876" s="86">
        <f t="shared" si="19"/>
        <v>1</v>
      </c>
    </row>
    <row r="877" ht="15.75" customHeight="1">
      <c r="A877" s="92" t="s">
        <v>2392</v>
      </c>
      <c r="B877" s="87" t="s">
        <v>184</v>
      </c>
      <c r="C877" s="88" t="s">
        <v>2393</v>
      </c>
      <c r="D877" s="88" t="s">
        <v>51</v>
      </c>
      <c r="E877" s="88">
        <v>25.0</v>
      </c>
      <c r="F877" s="89">
        <v>10000.0</v>
      </c>
      <c r="G877" s="90" t="s">
        <v>53</v>
      </c>
      <c r="H877" s="91">
        <v>46204.0</v>
      </c>
      <c r="I877" s="92" t="s">
        <v>17</v>
      </c>
      <c r="J877" s="92" t="s">
        <v>54</v>
      </c>
      <c r="K877" s="92" t="s">
        <v>66</v>
      </c>
      <c r="L877" s="92" t="s">
        <v>67</v>
      </c>
      <c r="M877" s="90" t="s">
        <v>132</v>
      </c>
      <c r="N877" s="92" t="s">
        <v>20</v>
      </c>
      <c r="O877" s="92" t="s">
        <v>89</v>
      </c>
      <c r="P877" s="87"/>
      <c r="Q877" s="87" t="s">
        <v>2394</v>
      </c>
      <c r="R877" s="93" t="s">
        <v>269</v>
      </c>
      <c r="S877" s="87"/>
      <c r="T877" s="87"/>
      <c r="U877" s="94" t="str">
        <f t="array" ref="U877">IFERROR(INDEX(DFD!$D$2:$D$1048791,MATCH($Q877,DFD!$B$2:$B$1048791,0)),"")</f>
        <v/>
      </c>
      <c r="V877" s="94" t="str">
        <f t="array" ref="V877">IFERROR(INDEX(DFD!$F$2:$F$1048791,MATCH($Q877,DFD!$B$2:$B$1048791,0)),"")</f>
        <v/>
      </c>
      <c r="W877" s="97" t="str">
        <f t="array" ref="W877">IFERROR(INDEX(DFD!$E$2:$E$1048791,MATCH($Q877,DFD!$B$2:$B$1048791,0)),"")</f>
        <v/>
      </c>
      <c r="X877" s="97" t="str">
        <f t="array" ref="X877">IFERROR(INDEX(DFD!$K$2:$K$1048791,MATCH($Q877,DFD!$B$2:$B$1048791,0)),"")</f>
        <v/>
      </c>
      <c r="Y877" s="97" t="str">
        <f t="array" ref="Y877">IFERROR(INDEX(DFD!$L$2:$L$1048790,MATCH($Q877,DFD!$B$2:$B$1048790,0)),"")</f>
        <v/>
      </c>
      <c r="Z877" s="97">
        <f t="shared" si="18"/>
        <v>45</v>
      </c>
      <c r="AA877" s="87"/>
      <c r="AB877" s="87" t="s">
        <v>78</v>
      </c>
      <c r="AC877" s="87"/>
      <c r="AD877" s="99">
        <v>46043.0</v>
      </c>
      <c r="AE877" s="100">
        <f t="shared" si="19"/>
        <v>1</v>
      </c>
    </row>
    <row r="878" ht="15.75" customHeight="1">
      <c r="A878" s="59" t="s">
        <v>2395</v>
      </c>
      <c r="B878" s="59" t="s">
        <v>101</v>
      </c>
      <c r="C878" s="60" t="s">
        <v>2396</v>
      </c>
      <c r="D878" s="60" t="s">
        <v>51</v>
      </c>
      <c r="E878" s="60">
        <v>4.0</v>
      </c>
      <c r="F878" s="72">
        <v>2400.0</v>
      </c>
      <c r="G878" s="73" t="s">
        <v>53</v>
      </c>
      <c r="H878" s="74">
        <v>46174.0</v>
      </c>
      <c r="I878" s="67" t="s">
        <v>17</v>
      </c>
      <c r="J878" s="67" t="s">
        <v>54</v>
      </c>
      <c r="K878" s="67" t="s">
        <v>66</v>
      </c>
      <c r="L878" s="67" t="s">
        <v>56</v>
      </c>
      <c r="M878" s="73" t="s">
        <v>104</v>
      </c>
      <c r="N878" s="67" t="s">
        <v>58</v>
      </c>
      <c r="O878" s="59" t="s">
        <v>69</v>
      </c>
      <c r="P878" s="59"/>
      <c r="Q878" s="59" t="s">
        <v>1511</v>
      </c>
      <c r="R878" s="76" t="s">
        <v>71</v>
      </c>
      <c r="S878" s="59"/>
      <c r="T878" s="59"/>
      <c r="U878" s="77" t="str">
        <f t="array" ref="U878">IFERROR(INDEX(DFD!$D$2:$D$1048791,MATCH($Q878,DFD!$B$2:$B$1048791,0)),"")</f>
        <v/>
      </c>
      <c r="V878" s="77" t="str">
        <f t="array" ref="V878">IFERROR(INDEX(DFD!$F$2:$F$1048791,MATCH($Q878,DFD!$B$2:$B$1048791,0)),"")</f>
        <v/>
      </c>
      <c r="W878" s="84" t="str">
        <f t="array" ref="W878">IFERROR(INDEX(DFD!$E$2:$E$1048791,MATCH($Q878,DFD!$B$2:$B$1048791,0)),"")</f>
        <v/>
      </c>
      <c r="X878" s="84" t="str">
        <f t="array" ref="X878">IFERROR(INDEX(DFD!$K$2:$K$1048791,MATCH($Q878,DFD!$B$2:$B$1048791,0)),"")</f>
        <v/>
      </c>
      <c r="Y878" s="84" t="str">
        <f t="array" ref="Y878">IFERROR(INDEX(DFD!$L$2:$L$1048790,MATCH($Q878,DFD!$B$2:$B$1048790,0)),"")</f>
        <v/>
      </c>
      <c r="Z878" s="84">
        <f t="shared" si="18"/>
        <v>45</v>
      </c>
      <c r="AA878" s="59"/>
      <c r="AB878" s="59" t="s">
        <v>78</v>
      </c>
      <c r="AC878" s="59"/>
      <c r="AD878" s="85">
        <v>46043.0</v>
      </c>
      <c r="AE878" s="86">
        <f t="shared" si="19"/>
        <v>1</v>
      </c>
    </row>
    <row r="879" ht="15.75" customHeight="1">
      <c r="A879" s="87" t="s">
        <v>2397</v>
      </c>
      <c r="B879" s="87" t="s">
        <v>80</v>
      </c>
      <c r="C879" s="88" t="s">
        <v>2396</v>
      </c>
      <c r="D879" s="88" t="s">
        <v>51</v>
      </c>
      <c r="E879" s="88">
        <v>2.0</v>
      </c>
      <c r="F879" s="89">
        <v>1200.0</v>
      </c>
      <c r="G879" s="90" t="s">
        <v>53</v>
      </c>
      <c r="H879" s="91">
        <v>46174.0</v>
      </c>
      <c r="I879" s="92" t="s">
        <v>17</v>
      </c>
      <c r="J879" s="92" t="s">
        <v>54</v>
      </c>
      <c r="K879" s="92" t="s">
        <v>66</v>
      </c>
      <c r="L879" s="92" t="s">
        <v>67</v>
      </c>
      <c r="M879" s="90" t="s">
        <v>104</v>
      </c>
      <c r="N879" s="92" t="s">
        <v>5</v>
      </c>
      <c r="O879" s="87" t="s">
        <v>69</v>
      </c>
      <c r="P879" s="87"/>
      <c r="Q879" s="87" t="s">
        <v>1511</v>
      </c>
      <c r="R879" s="93" t="s">
        <v>71</v>
      </c>
      <c r="S879" s="87"/>
      <c r="T879" s="87"/>
      <c r="U879" s="94" t="str">
        <f t="array" ref="U879">IFERROR(INDEX(DFD!$D$2:$D$1048791,MATCH($Q879,DFD!$B$2:$B$1048791,0)),"")</f>
        <v/>
      </c>
      <c r="V879" s="94" t="str">
        <f t="array" ref="V879">IFERROR(INDEX(DFD!$F$2:$F$1048791,MATCH($Q879,DFD!$B$2:$B$1048791,0)),"")</f>
        <v/>
      </c>
      <c r="W879" s="97" t="str">
        <f t="array" ref="W879">IFERROR(INDEX(DFD!$E$2:$E$1048791,MATCH($Q879,DFD!$B$2:$B$1048791,0)),"")</f>
        <v/>
      </c>
      <c r="X879" s="97" t="str">
        <f t="array" ref="X879">IFERROR(INDEX(DFD!$K$2:$K$1048791,MATCH($Q879,DFD!$B$2:$B$1048791,0)),"")</f>
        <v/>
      </c>
      <c r="Y879" s="97" t="str">
        <f t="array" ref="Y879">IFERROR(INDEX(DFD!$L$2:$L$1048790,MATCH($Q879,DFD!$B$2:$B$1048790,0)),"")</f>
        <v/>
      </c>
      <c r="Z879" s="97">
        <f t="shared" si="18"/>
        <v>45</v>
      </c>
      <c r="AA879" s="87"/>
      <c r="AB879" s="87" t="s">
        <v>78</v>
      </c>
      <c r="AC879" s="87"/>
      <c r="AD879" s="99">
        <v>46043.0</v>
      </c>
      <c r="AE879" s="100">
        <f t="shared" si="19"/>
        <v>1</v>
      </c>
    </row>
    <row r="880" ht="15.75" customHeight="1">
      <c r="A880" s="59" t="s">
        <v>2398</v>
      </c>
      <c r="B880" s="59" t="s">
        <v>92</v>
      </c>
      <c r="C880" s="60" t="s">
        <v>2396</v>
      </c>
      <c r="D880" s="60" t="s">
        <v>51</v>
      </c>
      <c r="E880" s="60">
        <v>2.0</v>
      </c>
      <c r="F880" s="72">
        <v>1200.0</v>
      </c>
      <c r="G880" s="73" t="s">
        <v>53</v>
      </c>
      <c r="H880" s="74">
        <v>46174.0</v>
      </c>
      <c r="I880" s="67" t="s">
        <v>17</v>
      </c>
      <c r="J880" s="67" t="s">
        <v>54</v>
      </c>
      <c r="K880" s="67" t="s">
        <v>66</v>
      </c>
      <c r="L880" s="67" t="s">
        <v>67</v>
      </c>
      <c r="M880" s="73" t="s">
        <v>104</v>
      </c>
      <c r="N880" s="67" t="s">
        <v>5</v>
      </c>
      <c r="O880" s="67" t="s">
        <v>89</v>
      </c>
      <c r="P880" s="59"/>
      <c r="Q880" s="59" t="s">
        <v>1511</v>
      </c>
      <c r="R880" s="76" t="s">
        <v>71</v>
      </c>
      <c r="S880" s="59"/>
      <c r="T880" s="59"/>
      <c r="U880" s="77" t="str">
        <f t="array" ref="U880">IFERROR(INDEX(DFD!$D$2:$D$1048791,MATCH($Q880,DFD!$B$2:$B$1048791,0)),"")</f>
        <v/>
      </c>
      <c r="V880" s="77" t="str">
        <f t="array" ref="V880">IFERROR(INDEX(DFD!$F$2:$F$1048791,MATCH($Q880,DFD!$B$2:$B$1048791,0)),"")</f>
        <v/>
      </c>
      <c r="W880" s="84" t="str">
        <f t="array" ref="W880">IFERROR(INDEX(DFD!$E$2:$E$1048791,MATCH($Q880,DFD!$B$2:$B$1048791,0)),"")</f>
        <v/>
      </c>
      <c r="X880" s="84" t="str">
        <f t="array" ref="X880">IFERROR(INDEX(DFD!$K$2:$K$1048791,MATCH($Q880,DFD!$B$2:$B$1048791,0)),"")</f>
        <v/>
      </c>
      <c r="Y880" s="84" t="str">
        <f t="array" ref="Y880">IFERROR(INDEX(DFD!$L$2:$L$1048790,MATCH($Q880,DFD!$B$2:$B$1048790,0)),"")</f>
        <v/>
      </c>
      <c r="Z880" s="84">
        <f t="shared" si="18"/>
        <v>45</v>
      </c>
      <c r="AA880" s="59"/>
      <c r="AB880" s="59" t="s">
        <v>78</v>
      </c>
      <c r="AC880" s="59"/>
      <c r="AD880" s="85">
        <v>46043.0</v>
      </c>
      <c r="AE880" s="86">
        <f t="shared" si="19"/>
        <v>1</v>
      </c>
    </row>
    <row r="881" ht="15.75" customHeight="1">
      <c r="A881" s="87" t="s">
        <v>2399</v>
      </c>
      <c r="B881" s="87" t="s">
        <v>94</v>
      </c>
      <c r="C881" s="88" t="s">
        <v>2396</v>
      </c>
      <c r="D881" s="88" t="s">
        <v>51</v>
      </c>
      <c r="E881" s="88">
        <v>1.0</v>
      </c>
      <c r="F881" s="89">
        <v>600.0</v>
      </c>
      <c r="G881" s="90" t="s">
        <v>53</v>
      </c>
      <c r="H881" s="91">
        <v>46174.0</v>
      </c>
      <c r="I881" s="92" t="s">
        <v>17</v>
      </c>
      <c r="J881" s="92" t="s">
        <v>54</v>
      </c>
      <c r="K881" s="92" t="s">
        <v>66</v>
      </c>
      <c r="L881" s="92" t="s">
        <v>67</v>
      </c>
      <c r="M881" s="90" t="s">
        <v>104</v>
      </c>
      <c r="N881" s="92" t="s">
        <v>5</v>
      </c>
      <c r="O881" s="87" t="s">
        <v>69</v>
      </c>
      <c r="P881" s="87"/>
      <c r="Q881" s="87" t="s">
        <v>1511</v>
      </c>
      <c r="R881" s="93" t="s">
        <v>71</v>
      </c>
      <c r="S881" s="87"/>
      <c r="T881" s="87"/>
      <c r="U881" s="94" t="str">
        <f t="array" ref="U881">IFERROR(INDEX(DFD!$D$2:$D$1048791,MATCH($Q881,DFD!$B$2:$B$1048791,0)),"")</f>
        <v/>
      </c>
      <c r="V881" s="94" t="str">
        <f t="array" ref="V881">IFERROR(INDEX(DFD!$F$2:$F$1048791,MATCH($Q881,DFD!$B$2:$B$1048791,0)),"")</f>
        <v/>
      </c>
      <c r="W881" s="97" t="str">
        <f t="array" ref="W881">IFERROR(INDEX(DFD!$E$2:$E$1048791,MATCH($Q881,DFD!$B$2:$B$1048791,0)),"")</f>
        <v/>
      </c>
      <c r="X881" s="97" t="str">
        <f t="array" ref="X881">IFERROR(INDEX(DFD!$K$2:$K$1048791,MATCH($Q881,DFD!$B$2:$B$1048791,0)),"")</f>
        <v/>
      </c>
      <c r="Y881" s="97" t="str">
        <f t="array" ref="Y881">IFERROR(INDEX(DFD!$L$2:$L$1048790,MATCH($Q881,DFD!$B$2:$B$1048790,0)),"")</f>
        <v/>
      </c>
      <c r="Z881" s="97">
        <f t="shared" si="18"/>
        <v>45</v>
      </c>
      <c r="AA881" s="87"/>
      <c r="AB881" s="87" t="s">
        <v>78</v>
      </c>
      <c r="AC881" s="87"/>
      <c r="AD881" s="99">
        <v>46043.0</v>
      </c>
      <c r="AE881" s="100">
        <f t="shared" si="19"/>
        <v>1</v>
      </c>
    </row>
    <row r="882" ht="15.75" customHeight="1">
      <c r="A882" s="67" t="s">
        <v>2400</v>
      </c>
      <c r="B882" s="59" t="s">
        <v>184</v>
      </c>
      <c r="C882" s="60" t="s">
        <v>2401</v>
      </c>
      <c r="D882" s="60" t="s">
        <v>51</v>
      </c>
      <c r="E882" s="60">
        <v>300.0</v>
      </c>
      <c r="F882" s="72">
        <v>1650.0</v>
      </c>
      <c r="G882" s="73" t="s">
        <v>53</v>
      </c>
      <c r="H882" s="74">
        <v>46174.0</v>
      </c>
      <c r="I882" s="67" t="s">
        <v>17</v>
      </c>
      <c r="J882" s="67" t="s">
        <v>54</v>
      </c>
      <c r="K882" s="67" t="s">
        <v>66</v>
      </c>
      <c r="L882" s="67" t="s">
        <v>67</v>
      </c>
      <c r="M882" s="73" t="s">
        <v>104</v>
      </c>
      <c r="N882" s="67" t="s">
        <v>20</v>
      </c>
      <c r="O882" s="59" t="s">
        <v>69</v>
      </c>
      <c r="P882" s="59"/>
      <c r="Q882" s="59" t="s">
        <v>800</v>
      </c>
      <c r="R882" s="76" t="s">
        <v>287</v>
      </c>
      <c r="S882" s="59"/>
      <c r="T882" s="59"/>
      <c r="U882" s="77" t="str">
        <f t="array" ref="U882">IFERROR(INDEX(DFD!$D$2:$D$1048791,MATCH($Q882,DFD!$B$2:$B$1048791,0)),"")</f>
        <v/>
      </c>
      <c r="V882" s="77" t="str">
        <f t="array" ref="V882">IFERROR(INDEX(DFD!$F$2:$F$1048791,MATCH($Q882,DFD!$B$2:$B$1048791,0)),"")</f>
        <v/>
      </c>
      <c r="W882" s="84" t="str">
        <f t="array" ref="W882">IFERROR(INDEX(DFD!$E$2:$E$1048791,MATCH($Q882,DFD!$B$2:$B$1048791,0)),"")</f>
        <v/>
      </c>
      <c r="X882" s="84" t="str">
        <f t="array" ref="X882">IFERROR(INDEX(DFD!$K$2:$K$1048791,MATCH($Q882,DFD!$B$2:$B$1048791,0)),"")</f>
        <v/>
      </c>
      <c r="Y882" s="84" t="str">
        <f t="array" ref="Y882">IFERROR(INDEX(DFD!$L$2:$L$1048790,MATCH($Q882,DFD!$B$2:$B$1048790,0)),"")</f>
        <v/>
      </c>
      <c r="Z882" s="84">
        <f t="shared" si="18"/>
        <v>45</v>
      </c>
      <c r="AA882" s="59"/>
      <c r="AB882" s="59" t="s">
        <v>78</v>
      </c>
      <c r="AC882" s="59"/>
      <c r="AD882" s="85">
        <v>46043.0</v>
      </c>
      <c r="AE882" s="86">
        <f t="shared" si="19"/>
        <v>1</v>
      </c>
    </row>
    <row r="883" ht="15.75" customHeight="1">
      <c r="A883" s="87" t="s">
        <v>2402</v>
      </c>
      <c r="B883" s="87" t="s">
        <v>73</v>
      </c>
      <c r="C883" s="88" t="s">
        <v>920</v>
      </c>
      <c r="D883" s="88" t="s">
        <v>51</v>
      </c>
      <c r="E883" s="88">
        <v>6.0</v>
      </c>
      <c r="F883" s="89">
        <v>5940.0</v>
      </c>
      <c r="G883" s="90" t="s">
        <v>53</v>
      </c>
      <c r="H883" s="91">
        <v>46204.0</v>
      </c>
      <c r="I883" s="92" t="s">
        <v>17</v>
      </c>
      <c r="J883" s="92" t="s">
        <v>54</v>
      </c>
      <c r="K883" s="92" t="s">
        <v>66</v>
      </c>
      <c r="L883" s="92" t="s">
        <v>56</v>
      </c>
      <c r="M883" s="90" t="s">
        <v>132</v>
      </c>
      <c r="N883" s="92" t="s">
        <v>58</v>
      </c>
      <c r="O883" s="92" t="s">
        <v>89</v>
      </c>
      <c r="P883" s="87"/>
      <c r="Q883" s="87" t="s">
        <v>2220</v>
      </c>
      <c r="R883" s="93" t="s">
        <v>71</v>
      </c>
      <c r="S883" s="87"/>
      <c r="T883" s="87"/>
      <c r="U883" s="94" t="str">
        <f t="array" ref="U883">IFERROR(INDEX(DFD!$D$2:$D$1048791,MATCH($Q883,DFD!$B$2:$B$1048791,0)),"")</f>
        <v/>
      </c>
      <c r="V883" s="94" t="s">
        <v>280</v>
      </c>
      <c r="W883" s="97" t="str">
        <f t="array" ref="W883">IFERROR(INDEX(DFD!$E$2:$E$1048791,MATCH($Q883,DFD!$B$2:$B$1048791,0)),"")</f>
        <v/>
      </c>
      <c r="X883" s="97" t="str">
        <f t="array" ref="X883">IFERROR(INDEX(DFD!$K$2:$K$1048791,MATCH($Q883,DFD!$B$2:$B$1048791,0)),"")</f>
        <v/>
      </c>
      <c r="Y883" s="97" t="str">
        <f t="array" ref="Y883">IFERROR(INDEX(DFD!$L$2:$L$1048790,MATCH($Q883,DFD!$B$2:$B$1048790,0)),"")</f>
        <v/>
      </c>
      <c r="Z883" s="97">
        <f t="shared" si="18"/>
        <v>45</v>
      </c>
      <c r="AA883" s="87"/>
      <c r="AB883" s="87" t="s">
        <v>78</v>
      </c>
      <c r="AC883" s="87"/>
      <c r="AD883" s="99">
        <v>46043.0</v>
      </c>
      <c r="AE883" s="100">
        <f t="shared" si="19"/>
        <v>1</v>
      </c>
    </row>
    <row r="884" ht="15.75" customHeight="1">
      <c r="A884" s="59" t="s">
        <v>2403</v>
      </c>
      <c r="B884" s="71" t="s">
        <v>80</v>
      </c>
      <c r="C884" s="60" t="s">
        <v>920</v>
      </c>
      <c r="D884" s="60" t="s">
        <v>51</v>
      </c>
      <c r="E884" s="60">
        <v>2.0</v>
      </c>
      <c r="F884" s="72">
        <v>1980.0</v>
      </c>
      <c r="G884" s="73" t="s">
        <v>53</v>
      </c>
      <c r="H884" s="74">
        <v>46174.0</v>
      </c>
      <c r="I884" s="67" t="s">
        <v>17</v>
      </c>
      <c r="J884" s="67" t="s">
        <v>54</v>
      </c>
      <c r="K884" s="67" t="s">
        <v>66</v>
      </c>
      <c r="L884" s="67" t="s">
        <v>56</v>
      </c>
      <c r="M884" s="73" t="s">
        <v>68</v>
      </c>
      <c r="N884" s="67" t="s">
        <v>58</v>
      </c>
      <c r="O884" s="59" t="s">
        <v>69</v>
      </c>
      <c r="P884" s="59"/>
      <c r="Q884" s="59" t="s">
        <v>2220</v>
      </c>
      <c r="R884" s="76" t="s">
        <v>71</v>
      </c>
      <c r="S884" s="59"/>
      <c r="T884" s="59"/>
      <c r="U884" s="77" t="str">
        <f t="array" ref="U884">IFERROR(INDEX(DFD!$D$2:$D$1048791,MATCH($Q884,DFD!$B$2:$B$1048791,0)),"")</f>
        <v/>
      </c>
      <c r="V884" s="77" t="s">
        <v>280</v>
      </c>
      <c r="W884" s="84" t="str">
        <f t="array" ref="W884">IFERROR(INDEX(DFD!$E$2:$E$1048791,MATCH($Q884,DFD!$B$2:$B$1048791,0)),"")</f>
        <v/>
      </c>
      <c r="X884" s="84" t="str">
        <f t="array" ref="X884">IFERROR(INDEX(DFD!$K$2:$K$1048791,MATCH($Q884,DFD!$B$2:$B$1048791,0)),"")</f>
        <v/>
      </c>
      <c r="Y884" s="84" t="str">
        <f t="array" ref="Y884">IFERROR(INDEX(DFD!$L$2:$L$1048790,MATCH($Q884,DFD!$B$2:$B$1048790,0)),"")</f>
        <v/>
      </c>
      <c r="Z884" s="84">
        <f t="shared" si="18"/>
        <v>45</v>
      </c>
      <c r="AA884" s="59"/>
      <c r="AB884" s="59" t="s">
        <v>78</v>
      </c>
      <c r="AC884" s="59"/>
      <c r="AD884" s="85">
        <v>46043.0</v>
      </c>
      <c r="AE884" s="86">
        <f t="shared" si="19"/>
        <v>1</v>
      </c>
    </row>
    <row r="885" ht="15.75" customHeight="1">
      <c r="A885" s="87" t="s">
        <v>2404</v>
      </c>
      <c r="B885" s="87" t="s">
        <v>94</v>
      </c>
      <c r="C885" s="88" t="s">
        <v>920</v>
      </c>
      <c r="D885" s="88" t="s">
        <v>51</v>
      </c>
      <c r="E885" s="88">
        <v>2.0</v>
      </c>
      <c r="F885" s="89">
        <v>1980.0</v>
      </c>
      <c r="G885" s="90" t="s">
        <v>53</v>
      </c>
      <c r="H885" s="91">
        <v>46174.0</v>
      </c>
      <c r="I885" s="92" t="s">
        <v>17</v>
      </c>
      <c r="J885" s="92" t="s">
        <v>54</v>
      </c>
      <c r="K885" s="92" t="s">
        <v>66</v>
      </c>
      <c r="L885" s="92" t="s">
        <v>56</v>
      </c>
      <c r="M885" s="90" t="s">
        <v>167</v>
      </c>
      <c r="N885" s="92" t="s">
        <v>58</v>
      </c>
      <c r="O885" s="87" t="s">
        <v>69</v>
      </c>
      <c r="P885" s="87"/>
      <c r="Q885" s="87" t="s">
        <v>2220</v>
      </c>
      <c r="R885" s="93" t="s">
        <v>71</v>
      </c>
      <c r="S885" s="87"/>
      <c r="T885" s="87"/>
      <c r="U885" s="94" t="str">
        <f t="array" ref="U885">IFERROR(INDEX(DFD!$D$2:$D$1048791,MATCH($Q885,DFD!$B$2:$B$1048791,0)),"")</f>
        <v/>
      </c>
      <c r="V885" s="94" t="s">
        <v>280</v>
      </c>
      <c r="W885" s="97" t="str">
        <f t="array" ref="W885">IFERROR(INDEX(DFD!$E$2:$E$1048791,MATCH($Q885,DFD!$B$2:$B$1048791,0)),"")</f>
        <v/>
      </c>
      <c r="X885" s="97" t="str">
        <f t="array" ref="X885">IFERROR(INDEX(DFD!$K$2:$K$1048791,MATCH($Q885,DFD!$B$2:$B$1048791,0)),"")</f>
        <v/>
      </c>
      <c r="Y885" s="97" t="str">
        <f t="array" ref="Y885">IFERROR(INDEX(DFD!$L$2:$L$1048790,MATCH($Q885,DFD!$B$2:$B$1048790,0)),"")</f>
        <v/>
      </c>
      <c r="Z885" s="97">
        <f t="shared" si="18"/>
        <v>45</v>
      </c>
      <c r="AA885" s="87"/>
      <c r="AB885" s="87" t="s">
        <v>78</v>
      </c>
      <c r="AC885" s="87"/>
      <c r="AD885" s="99">
        <v>46043.0</v>
      </c>
      <c r="AE885" s="100">
        <f t="shared" si="19"/>
        <v>1</v>
      </c>
    </row>
    <row r="886" ht="15.75" customHeight="1">
      <c r="A886" s="59" t="s">
        <v>2405</v>
      </c>
      <c r="B886" s="59" t="s">
        <v>602</v>
      </c>
      <c r="C886" s="60" t="s">
        <v>920</v>
      </c>
      <c r="D886" s="60" t="s">
        <v>51</v>
      </c>
      <c r="E886" s="60">
        <v>2.0</v>
      </c>
      <c r="F886" s="72">
        <v>1980.0</v>
      </c>
      <c r="G886" s="73" t="s">
        <v>53</v>
      </c>
      <c r="H886" s="74">
        <v>46174.0</v>
      </c>
      <c r="I886" s="67" t="s">
        <v>17</v>
      </c>
      <c r="J886" s="67" t="s">
        <v>54</v>
      </c>
      <c r="K886" s="67" t="s">
        <v>66</v>
      </c>
      <c r="L886" s="67" t="s">
        <v>56</v>
      </c>
      <c r="M886" s="73" t="s">
        <v>132</v>
      </c>
      <c r="N886" s="67" t="s">
        <v>58</v>
      </c>
      <c r="O886" s="67" t="s">
        <v>89</v>
      </c>
      <c r="P886" s="59"/>
      <c r="Q886" s="59">
        <v>2025.0</v>
      </c>
      <c r="R886" s="76" t="s">
        <v>71</v>
      </c>
      <c r="S886" s="59"/>
      <c r="T886" s="59"/>
      <c r="U886" s="84" t="s">
        <v>2216</v>
      </c>
      <c r="V886" s="77" t="s">
        <v>2217</v>
      </c>
      <c r="W886" s="84" t="str">
        <f t="array" ref="W886">IFERROR(INDEX(DFD!$E$2:$E$1048791,MATCH($Q886,DFD!$B$2:$B$1048791,0)),"")</f>
        <v/>
      </c>
      <c r="X886" s="84" t="str">
        <f t="array" ref="X886">IFERROR(INDEX(DFD!$K$2:$K$1048791,MATCH($Q886,DFD!$B$2:$B$1048791,0)),"")</f>
        <v/>
      </c>
      <c r="Y886" s="84" t="str">
        <f t="array" ref="Y886">IFERROR(INDEX(DFD!$L$2:$L$1048790,MATCH($Q886,DFD!$B$2:$B$1048790,0)),"")</f>
        <v/>
      </c>
      <c r="Z886" s="84">
        <f t="shared" si="18"/>
        <v>45</v>
      </c>
      <c r="AA886" s="59"/>
      <c r="AB886" s="59" t="s">
        <v>1131</v>
      </c>
      <c r="AC886" s="59"/>
      <c r="AD886" s="85">
        <v>46043.0</v>
      </c>
      <c r="AE886" s="86">
        <f t="shared" si="19"/>
        <v>1</v>
      </c>
    </row>
    <row r="887" ht="15.75" customHeight="1">
      <c r="A887" s="92" t="s">
        <v>2406</v>
      </c>
      <c r="B887" s="87" t="s">
        <v>355</v>
      </c>
      <c r="C887" s="88" t="s">
        <v>2407</v>
      </c>
      <c r="D887" s="88" t="s">
        <v>51</v>
      </c>
      <c r="E887" s="88">
        <v>1.0</v>
      </c>
      <c r="F887" s="89">
        <v>30889.0</v>
      </c>
      <c r="G887" s="90" t="s">
        <v>53</v>
      </c>
      <c r="H887" s="91">
        <v>46204.0</v>
      </c>
      <c r="I887" s="92" t="s">
        <v>18</v>
      </c>
      <c r="J887" s="92" t="s">
        <v>54</v>
      </c>
      <c r="K887" s="92" t="s">
        <v>83</v>
      </c>
      <c r="L887" s="92" t="s">
        <v>67</v>
      </c>
      <c r="M887" s="90" t="s">
        <v>117</v>
      </c>
      <c r="N887" s="92" t="s">
        <v>20</v>
      </c>
      <c r="O887" s="87" t="s">
        <v>69</v>
      </c>
      <c r="P887" s="87"/>
      <c r="Q887" s="87" t="s">
        <v>2240</v>
      </c>
      <c r="R887" s="93" t="s">
        <v>373</v>
      </c>
      <c r="S887" s="87"/>
      <c r="T887" s="87"/>
      <c r="U887" s="94" t="str">
        <f t="array" ref="U887">IFERROR(INDEX(DFD!$D$2:$D$1048791,MATCH($Q887,DFD!$B$2:$B$1048791,0)),"")</f>
        <v/>
      </c>
      <c r="V887" s="94" t="str">
        <f t="array" ref="V887">IFERROR(INDEX(DFD!$F$2:$F$1048791,MATCH($Q887,DFD!$B$2:$B$1048791,0)),"")</f>
        <v/>
      </c>
      <c r="W887" s="97" t="str">
        <f t="array" ref="W887">IFERROR(INDEX(DFD!$E$2:$E$1048791,MATCH($Q887,DFD!$B$2:$B$1048791,0)),"")</f>
        <v/>
      </c>
      <c r="X887" s="97" t="str">
        <f t="array" ref="X887">IFERROR(INDEX(DFD!$K$2:$K$1048791,MATCH($Q887,DFD!$B$2:$B$1048791,0)),"")</f>
        <v/>
      </c>
      <c r="Y887" s="97" t="str">
        <f t="array" ref="Y887">IFERROR(INDEX(DFD!$L$2:$L$1048790,MATCH($Q887,DFD!$B$2:$B$1048790,0)),"")</f>
        <v/>
      </c>
      <c r="Z887" s="97">
        <f t="shared" si="18"/>
        <v>45</v>
      </c>
      <c r="AA887" s="87"/>
      <c r="AB887" s="87" t="s">
        <v>78</v>
      </c>
      <c r="AC887" s="87"/>
      <c r="AD887" s="99">
        <v>46043.0</v>
      </c>
      <c r="AE887" s="100">
        <f t="shared" si="19"/>
        <v>1</v>
      </c>
    </row>
    <row r="888" ht="15.75" customHeight="1">
      <c r="A888" s="59" t="s">
        <v>2408</v>
      </c>
      <c r="B888" s="59" t="s">
        <v>101</v>
      </c>
      <c r="C888" s="60" t="s">
        <v>2409</v>
      </c>
      <c r="D888" s="60" t="s">
        <v>51</v>
      </c>
      <c r="E888" s="60">
        <v>27.0</v>
      </c>
      <c r="F888" s="72">
        <v>16140.0</v>
      </c>
      <c r="G888" s="73" t="s">
        <v>53</v>
      </c>
      <c r="H888" s="74">
        <v>46204.0</v>
      </c>
      <c r="I888" s="67" t="s">
        <v>17</v>
      </c>
      <c r="J888" s="67" t="s">
        <v>54</v>
      </c>
      <c r="K888" s="67" t="s">
        <v>66</v>
      </c>
      <c r="L888" s="67" t="s">
        <v>56</v>
      </c>
      <c r="M888" s="73" t="s">
        <v>132</v>
      </c>
      <c r="N888" s="67" t="s">
        <v>58</v>
      </c>
      <c r="O888" s="59" t="s">
        <v>69</v>
      </c>
      <c r="P888" s="59"/>
      <c r="Q888" s="59" t="s">
        <v>124</v>
      </c>
      <c r="R888" s="76" t="s">
        <v>71</v>
      </c>
      <c r="S888" s="59"/>
      <c r="T888" s="59"/>
      <c r="U888" s="77" t="str">
        <f t="array" ref="U888">IFERROR(INDEX(DFD!$D$2:$D$1048791,MATCH($Q888,DFD!$B$2:$B$1048791,0)),"")</f>
        <v/>
      </c>
      <c r="V888" s="77" t="str">
        <f t="array" ref="V888">IFERROR(INDEX(DFD!$F$2:$F$1048791,MATCH($Q888,DFD!$B$2:$B$1048791,0)),"")</f>
        <v/>
      </c>
      <c r="W888" s="84" t="str">
        <f t="array" ref="W888">IFERROR(INDEX(DFD!$E$2:$E$1048791,MATCH($Q888,DFD!$B$2:$B$1048791,0)),"")</f>
        <v/>
      </c>
      <c r="X888" s="84" t="str">
        <f t="array" ref="X888">IFERROR(INDEX(DFD!$K$2:$K$1048791,MATCH($Q888,DFD!$B$2:$B$1048791,0)),"")</f>
        <v/>
      </c>
      <c r="Y888" s="84" t="str">
        <f t="array" ref="Y888">IFERROR(INDEX(DFD!$L$2:$L$1048790,MATCH($Q888,DFD!$B$2:$B$1048790,0)),"")</f>
        <v/>
      </c>
      <c r="Z888" s="84">
        <f t="shared" si="18"/>
        <v>45</v>
      </c>
      <c r="AA888" s="59"/>
      <c r="AB888" s="59" t="s">
        <v>78</v>
      </c>
      <c r="AC888" s="59"/>
      <c r="AD888" s="85">
        <v>46043.0</v>
      </c>
      <c r="AE888" s="86">
        <f t="shared" si="19"/>
        <v>1</v>
      </c>
    </row>
    <row r="889" ht="15.75" customHeight="1">
      <c r="A889" s="87" t="s">
        <v>2410</v>
      </c>
      <c r="B889" s="87" t="s">
        <v>355</v>
      </c>
      <c r="C889" s="88" t="s">
        <v>2409</v>
      </c>
      <c r="D889" s="88" t="s">
        <v>51</v>
      </c>
      <c r="E889" s="88">
        <v>10.0</v>
      </c>
      <c r="F889" s="89">
        <v>7200.0</v>
      </c>
      <c r="G889" s="90" t="s">
        <v>53</v>
      </c>
      <c r="H889" s="91">
        <v>46204.0</v>
      </c>
      <c r="I889" s="92" t="s">
        <v>17</v>
      </c>
      <c r="J889" s="92" t="s">
        <v>54</v>
      </c>
      <c r="K889" s="92" t="s">
        <v>66</v>
      </c>
      <c r="L889" s="92" t="s">
        <v>56</v>
      </c>
      <c r="M889" s="90" t="s">
        <v>104</v>
      </c>
      <c r="N889" s="92" t="s">
        <v>58</v>
      </c>
      <c r="O889" s="92" t="s">
        <v>89</v>
      </c>
      <c r="P889" s="87"/>
      <c r="Q889" s="87" t="s">
        <v>52</v>
      </c>
      <c r="R889" s="93" t="s">
        <v>71</v>
      </c>
      <c r="S889" s="87"/>
      <c r="T889" s="87"/>
      <c r="U889" s="94" t="str">
        <f t="array" ref="U889">IFERROR(INDEX(DFD!$D$2:$D$1048791,MATCH($Q889,DFD!$B$2:$B$1048791,0)),"")</f>
        <v/>
      </c>
      <c r="V889" s="94" t="str">
        <f t="array" ref="V889">IFERROR(INDEX(DFD!$F$2:$F$1048791,MATCH($Q889,DFD!$B$2:$B$1048791,0)),"")</f>
        <v/>
      </c>
      <c r="W889" s="97" t="str">
        <f t="array" ref="W889">IFERROR(INDEX(DFD!$E$2:$E$1048791,MATCH($Q889,DFD!$B$2:$B$1048791,0)),"")</f>
        <v/>
      </c>
      <c r="X889" s="97" t="str">
        <f t="array" ref="X889">IFERROR(INDEX(DFD!$K$2:$K$1048791,MATCH($Q889,DFD!$B$2:$B$1048791,0)),"")</f>
        <v/>
      </c>
      <c r="Y889" s="97" t="str">
        <f t="array" ref="Y889">IFERROR(INDEX(DFD!$L$2:$L$1048790,MATCH($Q889,DFD!$B$2:$B$1048790,0)),"")</f>
        <v/>
      </c>
      <c r="Z889" s="97">
        <f t="shared" si="18"/>
        <v>45</v>
      </c>
      <c r="AA889" s="87"/>
      <c r="AB889" s="87" t="s">
        <v>72</v>
      </c>
      <c r="AC889" s="87"/>
      <c r="AD889" s="99">
        <v>46043.0</v>
      </c>
      <c r="AE889" s="100">
        <f t="shared" si="19"/>
        <v>1</v>
      </c>
    </row>
    <row r="890" ht="15.75" customHeight="1">
      <c r="A890" s="59" t="s">
        <v>2411</v>
      </c>
      <c r="B890" s="59" t="s">
        <v>101</v>
      </c>
      <c r="C890" s="60" t="s">
        <v>2412</v>
      </c>
      <c r="D890" s="60" t="s">
        <v>51</v>
      </c>
      <c r="E890" s="60">
        <v>6.0</v>
      </c>
      <c r="F890" s="72">
        <v>6600.0</v>
      </c>
      <c r="G890" s="73" t="s">
        <v>53</v>
      </c>
      <c r="H890" s="74">
        <v>46204.0</v>
      </c>
      <c r="I890" s="67" t="s">
        <v>17</v>
      </c>
      <c r="J890" s="67" t="s">
        <v>54</v>
      </c>
      <c r="K890" s="67" t="s">
        <v>66</v>
      </c>
      <c r="L890" s="67" t="s">
        <v>56</v>
      </c>
      <c r="M890" s="73" t="s">
        <v>132</v>
      </c>
      <c r="N890" s="67" t="s">
        <v>58</v>
      </c>
      <c r="O890" s="59" t="s">
        <v>69</v>
      </c>
      <c r="P890" s="59"/>
      <c r="Q890" s="59" t="s">
        <v>2413</v>
      </c>
      <c r="R890" s="76" t="s">
        <v>1631</v>
      </c>
      <c r="S890" s="59"/>
      <c r="T890" s="59"/>
      <c r="U890" s="77" t="str">
        <f t="array" ref="U890">IFERROR(INDEX(DFD!$D$2:$D$1048791,MATCH($Q890,DFD!$B$2:$B$1048791,0)),"")</f>
        <v/>
      </c>
      <c r="V890" s="77" t="str">
        <f t="array" ref="V890">IFERROR(INDEX(DFD!$F$2:$F$1048791,MATCH($Q890,DFD!$B$2:$B$1048791,0)),"")</f>
        <v/>
      </c>
      <c r="W890" s="84" t="str">
        <f t="array" ref="W890">IFERROR(INDEX(DFD!$E$2:$E$1048791,MATCH($Q890,DFD!$B$2:$B$1048791,0)),"")</f>
        <v/>
      </c>
      <c r="X890" s="84" t="str">
        <f t="array" ref="X890">IFERROR(INDEX(DFD!$K$2:$K$1048791,MATCH($Q890,DFD!$B$2:$B$1048791,0)),"")</f>
        <v/>
      </c>
      <c r="Y890" s="84" t="str">
        <f t="array" ref="Y890">IFERROR(INDEX(DFD!$L$2:$L$1048790,MATCH($Q890,DFD!$B$2:$B$1048790,0)),"")</f>
        <v/>
      </c>
      <c r="Z890" s="84">
        <f t="shared" si="18"/>
        <v>45</v>
      </c>
      <c r="AA890" s="59"/>
      <c r="AB890" s="59" t="s">
        <v>78</v>
      </c>
      <c r="AC890" s="59"/>
      <c r="AD890" s="85">
        <v>46043.0</v>
      </c>
      <c r="AE890" s="86">
        <f t="shared" si="19"/>
        <v>1</v>
      </c>
    </row>
    <row r="891" ht="15.75" customHeight="1">
      <c r="A891" s="87" t="s">
        <v>2414</v>
      </c>
      <c r="B891" s="87" t="s">
        <v>355</v>
      </c>
      <c r="C891" s="88" t="s">
        <v>2415</v>
      </c>
      <c r="D891" s="88" t="s">
        <v>51</v>
      </c>
      <c r="E891" s="88">
        <v>40.0</v>
      </c>
      <c r="F891" s="89">
        <v>44000.0</v>
      </c>
      <c r="G891" s="90" t="s">
        <v>53</v>
      </c>
      <c r="H891" s="91">
        <v>46266.0</v>
      </c>
      <c r="I891" s="92" t="s">
        <v>17</v>
      </c>
      <c r="J891" s="92" t="s">
        <v>54</v>
      </c>
      <c r="K891" s="92" t="s">
        <v>66</v>
      </c>
      <c r="L891" s="92" t="s">
        <v>56</v>
      </c>
      <c r="M891" s="90" t="s">
        <v>68</v>
      </c>
      <c r="N891" s="92" t="s">
        <v>58</v>
      </c>
      <c r="O891" s="87" t="s">
        <v>69</v>
      </c>
      <c r="P891" s="87"/>
      <c r="Q891" s="87" t="s">
        <v>52</v>
      </c>
      <c r="R891" s="93" t="s">
        <v>1631</v>
      </c>
      <c r="S891" s="87"/>
      <c r="T891" s="87"/>
      <c r="U891" s="94" t="str">
        <f t="array" ref="U891">IFERROR(INDEX(DFD!$D$2:$D$1048791,MATCH($Q891,DFD!$B$2:$B$1048791,0)),"")</f>
        <v/>
      </c>
      <c r="V891" s="94" t="str">
        <f t="array" ref="V891">IFERROR(INDEX(DFD!$F$2:$F$1048791,MATCH($Q891,DFD!$B$2:$B$1048791,0)),"")</f>
        <v/>
      </c>
      <c r="W891" s="97" t="str">
        <f t="array" ref="W891">IFERROR(INDEX(DFD!$E$2:$E$1048791,MATCH($Q891,DFD!$B$2:$B$1048791,0)),"")</f>
        <v/>
      </c>
      <c r="X891" s="97" t="str">
        <f t="array" ref="X891">IFERROR(INDEX(DFD!$K$2:$K$1048791,MATCH($Q891,DFD!$B$2:$B$1048791,0)),"")</f>
        <v/>
      </c>
      <c r="Y891" s="97" t="str">
        <f t="array" ref="Y891">IFERROR(INDEX(DFD!$L$2:$L$1048790,MATCH($Q891,DFD!$B$2:$B$1048790,0)),"")</f>
        <v/>
      </c>
      <c r="Z891" s="97">
        <f t="shared" si="18"/>
        <v>45</v>
      </c>
      <c r="AA891" s="87"/>
      <c r="AB891" s="87" t="s">
        <v>72</v>
      </c>
      <c r="AC891" s="87"/>
      <c r="AD891" s="99">
        <v>46043.0</v>
      </c>
      <c r="AE891" s="100">
        <f t="shared" si="19"/>
        <v>1</v>
      </c>
    </row>
    <row r="892" ht="15.75" customHeight="1">
      <c r="A892" s="67" t="s">
        <v>2416</v>
      </c>
      <c r="B892" s="59" t="s">
        <v>136</v>
      </c>
      <c r="C892" s="60" t="s">
        <v>2417</v>
      </c>
      <c r="D892" s="60" t="s">
        <v>51</v>
      </c>
      <c r="E892" s="60">
        <v>1.0</v>
      </c>
      <c r="F892" s="72">
        <v>34465.0</v>
      </c>
      <c r="G892" s="73" t="s">
        <v>53</v>
      </c>
      <c r="H892" s="74">
        <v>46204.0</v>
      </c>
      <c r="I892" s="67" t="s">
        <v>17</v>
      </c>
      <c r="J892" s="67" t="s">
        <v>54</v>
      </c>
      <c r="K892" s="67" t="s">
        <v>372</v>
      </c>
      <c r="L892" s="67" t="s">
        <v>67</v>
      </c>
      <c r="M892" s="73" t="s">
        <v>117</v>
      </c>
      <c r="N892" s="67" t="s">
        <v>20</v>
      </c>
      <c r="O892" s="59" t="s">
        <v>1128</v>
      </c>
      <c r="P892" s="59"/>
      <c r="Q892" s="59" t="s">
        <v>2418</v>
      </c>
      <c r="R892" s="76" t="s">
        <v>639</v>
      </c>
      <c r="S892" s="59"/>
      <c r="T892" s="59"/>
      <c r="U892" s="77" t="str">
        <f t="array" ref="U892">IFERROR(INDEX(DFD!$D$2:$D$1048791,MATCH($Q892,DFD!$B$2:$B$1048791,0)),"")</f>
        <v/>
      </c>
      <c r="V892" s="77" t="str">
        <f t="array" ref="V892">IFERROR(INDEX(DFD!$F$2:$F$1048791,MATCH($Q892,DFD!$B$2:$B$1048791,0)),"")</f>
        <v/>
      </c>
      <c r="W892" s="84" t="str">
        <f t="array" ref="W892">IFERROR(INDEX(DFD!$E$2:$E$1048791,MATCH($Q892,DFD!$B$2:$B$1048791,0)),"")</f>
        <v/>
      </c>
      <c r="X892" s="84" t="str">
        <f t="array" ref="X892">IFERROR(INDEX(DFD!$K$2:$K$1048791,MATCH($Q892,DFD!$B$2:$B$1048791,0)),"")</f>
        <v/>
      </c>
      <c r="Y892" s="84" t="str">
        <f t="array" ref="Y892">IFERROR(INDEX(DFD!$L$2:$L$1048790,MATCH($Q892,DFD!$B$2:$B$1048790,0)),"")</f>
        <v/>
      </c>
      <c r="Z892" s="84">
        <f t="shared" si="18"/>
        <v>45</v>
      </c>
      <c r="AA892" s="59"/>
      <c r="AB892" s="59" t="s">
        <v>1131</v>
      </c>
      <c r="AC892" s="59"/>
      <c r="AD892" s="85">
        <v>46043.0</v>
      </c>
      <c r="AE892" s="86">
        <f t="shared" si="19"/>
        <v>1</v>
      </c>
    </row>
    <row r="893" ht="15.75" customHeight="1">
      <c r="A893" s="92" t="s">
        <v>2419</v>
      </c>
      <c r="B893" s="87" t="s">
        <v>148</v>
      </c>
      <c r="C893" s="60" t="s">
        <v>2420</v>
      </c>
      <c r="D893" s="60" t="s">
        <v>51</v>
      </c>
      <c r="E893" s="60">
        <v>1.0</v>
      </c>
      <c r="F893" s="72">
        <v>400.0</v>
      </c>
      <c r="G893" s="90" t="s">
        <v>53</v>
      </c>
      <c r="H893" s="91">
        <v>46174.0</v>
      </c>
      <c r="I893" s="92" t="s">
        <v>17</v>
      </c>
      <c r="J893" s="92" t="s">
        <v>54</v>
      </c>
      <c r="K893" s="92" t="s">
        <v>66</v>
      </c>
      <c r="L893" s="92" t="s">
        <v>56</v>
      </c>
      <c r="M893" s="90" t="s">
        <v>117</v>
      </c>
      <c r="N893" s="92" t="s">
        <v>20</v>
      </c>
      <c r="O893" s="92" t="s">
        <v>89</v>
      </c>
      <c r="P893" s="87"/>
      <c r="Q893" s="87" t="s">
        <v>800</v>
      </c>
      <c r="R893" s="93" t="s">
        <v>287</v>
      </c>
      <c r="S893" s="87"/>
      <c r="T893" s="87"/>
      <c r="U893" s="94" t="str">
        <f t="array" ref="U893">IFERROR(INDEX(DFD!$D$2:$D$1048791,MATCH($Q893,DFD!$B$2:$B$1048791,0)),"")</f>
        <v/>
      </c>
      <c r="V893" s="94" t="str">
        <f t="array" ref="V893">IFERROR(INDEX(DFD!$F$2:$F$1048791,MATCH($Q893,DFD!$B$2:$B$1048791,0)),"")</f>
        <v/>
      </c>
      <c r="W893" s="97" t="str">
        <f t="array" ref="W893">IFERROR(INDEX(DFD!$E$2:$E$1048791,MATCH($Q893,DFD!$B$2:$B$1048791,0)),"")</f>
        <v/>
      </c>
      <c r="X893" s="97" t="str">
        <f t="array" ref="X893">IFERROR(INDEX(DFD!$K$2:$K$1048791,MATCH($Q893,DFD!$B$2:$B$1048791,0)),"")</f>
        <v/>
      </c>
      <c r="Y893" s="97" t="str">
        <f t="array" ref="Y893">IFERROR(INDEX(DFD!$L$2:$L$1048790,MATCH($Q893,DFD!$B$2:$B$1048790,0)),"")</f>
        <v/>
      </c>
      <c r="Z893" s="97">
        <f t="shared" si="18"/>
        <v>45</v>
      </c>
      <c r="AA893" s="87"/>
      <c r="AB893" s="87" t="s">
        <v>78</v>
      </c>
      <c r="AC893" s="87"/>
      <c r="AD893" s="99">
        <v>46043.0</v>
      </c>
      <c r="AE893" s="100">
        <f t="shared" si="19"/>
        <v>1</v>
      </c>
    </row>
    <row r="894" ht="15.75" customHeight="1">
      <c r="A894" s="67" t="s">
        <v>2421</v>
      </c>
      <c r="B894" s="59" t="s">
        <v>49</v>
      </c>
      <c r="C894" s="60" t="s">
        <v>2422</v>
      </c>
      <c r="D894" s="60" t="s">
        <v>51</v>
      </c>
      <c r="E894" s="60">
        <v>30.0</v>
      </c>
      <c r="F894" s="72">
        <v>50000.0</v>
      </c>
      <c r="G894" s="73" t="s">
        <v>53</v>
      </c>
      <c r="H894" s="74">
        <v>46266.0</v>
      </c>
      <c r="I894" s="67" t="s">
        <v>17</v>
      </c>
      <c r="J894" s="67" t="s">
        <v>54</v>
      </c>
      <c r="K894" s="67" t="s">
        <v>66</v>
      </c>
      <c r="L894" s="67" t="s">
        <v>56</v>
      </c>
      <c r="M894" s="73" t="s">
        <v>112</v>
      </c>
      <c r="N894" s="67" t="s">
        <v>20</v>
      </c>
      <c r="O894" s="59" t="s">
        <v>69</v>
      </c>
      <c r="P894" s="59"/>
      <c r="Q894" s="59" t="s">
        <v>2423</v>
      </c>
      <c r="R894" s="76" t="s">
        <v>2424</v>
      </c>
      <c r="S894" s="59"/>
      <c r="T894" s="59"/>
      <c r="U894" s="77" t="str">
        <f t="array" ref="U894">IFERROR(INDEX(DFD!$D$2:$D$1048791,MATCH($Q894,DFD!$B$2:$B$1048791,0)),"")</f>
        <v/>
      </c>
      <c r="V894" s="77" t="s">
        <v>62</v>
      </c>
      <c r="W894" s="84" t="str">
        <f t="array" ref="W894">IFERROR(INDEX(DFD!$E$2:$E$1048791,MATCH($Q894,DFD!$B$2:$B$1048791,0)),"")</f>
        <v/>
      </c>
      <c r="X894" s="84" t="str">
        <f t="array" ref="X894">IFERROR(INDEX(DFD!$K$2:$K$1048791,MATCH($Q894,DFD!$B$2:$B$1048791,0)),"")</f>
        <v/>
      </c>
      <c r="Y894" s="84" t="str">
        <f t="array" ref="Y894">IFERROR(INDEX(DFD!$L$2:$L$1048790,MATCH($Q894,DFD!$B$2:$B$1048790,0)),"")</f>
        <v/>
      </c>
      <c r="Z894" s="84">
        <f t="shared" si="18"/>
        <v>45</v>
      </c>
      <c r="AA894" s="59"/>
      <c r="AB894" s="59" t="s">
        <v>78</v>
      </c>
      <c r="AC894" s="59"/>
      <c r="AD894" s="85">
        <v>46043.0</v>
      </c>
      <c r="AE894" s="86">
        <f t="shared" si="19"/>
        <v>1</v>
      </c>
    </row>
    <row r="895" ht="15.75" customHeight="1">
      <c r="A895" s="92" t="s">
        <v>2425</v>
      </c>
      <c r="B895" s="87" t="s">
        <v>184</v>
      </c>
      <c r="C895" s="88" t="s">
        <v>2426</v>
      </c>
      <c r="D895" s="88" t="s">
        <v>51</v>
      </c>
      <c r="E895" s="88">
        <v>40.0</v>
      </c>
      <c r="F895" s="89">
        <v>2400.0</v>
      </c>
      <c r="G895" s="90" t="s">
        <v>53</v>
      </c>
      <c r="H895" s="91">
        <v>46174.0</v>
      </c>
      <c r="I895" s="92" t="s">
        <v>17</v>
      </c>
      <c r="J895" s="92" t="s">
        <v>54</v>
      </c>
      <c r="K895" s="92" t="s">
        <v>66</v>
      </c>
      <c r="L895" s="92" t="s">
        <v>56</v>
      </c>
      <c r="M895" s="90" t="s">
        <v>104</v>
      </c>
      <c r="N895" s="92" t="s">
        <v>20</v>
      </c>
      <c r="O895" s="87" t="s">
        <v>69</v>
      </c>
      <c r="P895" s="87"/>
      <c r="Q895" s="87" t="s">
        <v>491</v>
      </c>
      <c r="R895" s="93" t="s">
        <v>269</v>
      </c>
      <c r="S895" s="87"/>
      <c r="T895" s="87"/>
      <c r="U895" s="94" t="str">
        <f t="array" ref="U895">IFERROR(INDEX(DFD!$D$2:$D$1048791,MATCH($Q895,DFD!$B$2:$B$1048791,0)),"")</f>
        <v/>
      </c>
      <c r="V895" s="94" t="str">
        <f t="array" ref="V895">IFERROR(INDEX(DFD!$F$2:$F$1048791,MATCH($Q895,DFD!$B$2:$B$1048791,0)),"")</f>
        <v/>
      </c>
      <c r="W895" s="97" t="str">
        <f t="array" ref="W895">IFERROR(INDEX(DFD!$E$2:$E$1048791,MATCH($Q895,DFD!$B$2:$B$1048791,0)),"")</f>
        <v/>
      </c>
      <c r="X895" s="97" t="str">
        <f t="array" ref="X895">IFERROR(INDEX(DFD!$K$2:$K$1048791,MATCH($Q895,DFD!$B$2:$B$1048791,0)),"")</f>
        <v/>
      </c>
      <c r="Y895" s="97" t="str">
        <f t="array" ref="Y895">IFERROR(INDEX(DFD!$L$2:$L$1048790,MATCH($Q895,DFD!$B$2:$B$1048790,0)),"")</f>
        <v/>
      </c>
      <c r="Z895" s="97">
        <f t="shared" si="18"/>
        <v>45</v>
      </c>
      <c r="AA895" s="87"/>
      <c r="AB895" s="87" t="s">
        <v>78</v>
      </c>
      <c r="AC895" s="87"/>
      <c r="AD895" s="99">
        <v>46043.0</v>
      </c>
      <c r="AE895" s="100">
        <f t="shared" si="19"/>
        <v>1</v>
      </c>
    </row>
    <row r="896" ht="15.75" customHeight="1">
      <c r="A896" s="59" t="s">
        <v>2427</v>
      </c>
      <c r="B896" s="59" t="s">
        <v>101</v>
      </c>
      <c r="C896" s="185" t="s">
        <v>2426</v>
      </c>
      <c r="D896" s="60" t="s">
        <v>51</v>
      </c>
      <c r="E896" s="60">
        <v>30.0</v>
      </c>
      <c r="F896" s="72">
        <v>1800.0</v>
      </c>
      <c r="G896" s="73" t="s">
        <v>53</v>
      </c>
      <c r="H896" s="74">
        <v>46174.0</v>
      </c>
      <c r="I896" s="67" t="s">
        <v>17</v>
      </c>
      <c r="J896" s="67" t="s">
        <v>54</v>
      </c>
      <c r="K896" s="67" t="s">
        <v>66</v>
      </c>
      <c r="L896" s="67" t="s">
        <v>56</v>
      </c>
      <c r="M896" s="73" t="s">
        <v>112</v>
      </c>
      <c r="N896" s="67" t="s">
        <v>58</v>
      </c>
      <c r="O896" s="67" t="s">
        <v>89</v>
      </c>
      <c r="P896" s="59"/>
      <c r="Q896" s="59" t="s">
        <v>491</v>
      </c>
      <c r="R896" s="76" t="s">
        <v>269</v>
      </c>
      <c r="S896" s="59"/>
      <c r="T896" s="59"/>
      <c r="U896" s="77" t="str">
        <f t="array" ref="U896">IFERROR(INDEX(DFD!$D$2:$D$1048791,MATCH($Q896,DFD!$B$2:$B$1048791,0)),"")</f>
        <v/>
      </c>
      <c r="V896" s="77" t="str">
        <f t="array" ref="V896">IFERROR(INDEX(DFD!$F$2:$F$1048791,MATCH($Q896,DFD!$B$2:$B$1048791,0)),"")</f>
        <v/>
      </c>
      <c r="W896" s="84" t="str">
        <f t="array" ref="W896">IFERROR(INDEX(DFD!$E$2:$E$1048791,MATCH($Q896,DFD!$B$2:$B$1048791,0)),"")</f>
        <v/>
      </c>
      <c r="X896" s="84" t="str">
        <f t="array" ref="X896">IFERROR(INDEX(DFD!$K$2:$K$1048791,MATCH($Q896,DFD!$B$2:$B$1048791,0)),"")</f>
        <v/>
      </c>
      <c r="Y896" s="84" t="str">
        <f t="array" ref="Y896">IFERROR(INDEX(DFD!$L$2:$L$1048790,MATCH($Q896,DFD!$B$2:$B$1048790,0)),"")</f>
        <v/>
      </c>
      <c r="Z896" s="84">
        <f t="shared" si="18"/>
        <v>45</v>
      </c>
      <c r="AA896" s="59"/>
      <c r="AB896" s="59" t="s">
        <v>78</v>
      </c>
      <c r="AC896" s="59"/>
      <c r="AD896" s="85">
        <v>46043.0</v>
      </c>
      <c r="AE896" s="86">
        <f t="shared" si="19"/>
        <v>1</v>
      </c>
    </row>
    <row r="897" ht="15.75" customHeight="1">
      <c r="A897" s="87" t="s">
        <v>2428</v>
      </c>
      <c r="B897" s="87" t="s">
        <v>171</v>
      </c>
      <c r="C897" s="88" t="s">
        <v>2429</v>
      </c>
      <c r="D897" s="88" t="s">
        <v>51</v>
      </c>
      <c r="E897" s="88">
        <v>1.0</v>
      </c>
      <c r="F897" s="89">
        <v>80297.0</v>
      </c>
      <c r="G897" s="90" t="s">
        <v>53</v>
      </c>
      <c r="H897" s="91">
        <v>46143.0</v>
      </c>
      <c r="I897" s="92" t="s">
        <v>17</v>
      </c>
      <c r="J897" s="92" t="s">
        <v>54</v>
      </c>
      <c r="K897" s="92" t="s">
        <v>66</v>
      </c>
      <c r="L897" s="92" t="s">
        <v>56</v>
      </c>
      <c r="M897" s="90" t="s">
        <v>57</v>
      </c>
      <c r="N897" s="92" t="s">
        <v>5</v>
      </c>
      <c r="O897" s="87" t="s">
        <v>69</v>
      </c>
      <c r="P897" s="87"/>
      <c r="Q897" s="87" t="s">
        <v>2430</v>
      </c>
      <c r="R897" s="93" t="s">
        <v>154</v>
      </c>
      <c r="S897" s="87"/>
      <c r="T897" s="87"/>
      <c r="U897" s="94" t="str">
        <f t="array" ref="U897">IFERROR(INDEX(DFD!$D$2:$D$1048791,MATCH($Q897,DFD!$B$2:$B$1048791,0)),"")</f>
        <v/>
      </c>
      <c r="V897" s="94" t="str">
        <f t="array" ref="V897">IFERROR(INDEX(DFD!$F$2:$F$1048791,MATCH($Q897,DFD!$B$2:$B$1048791,0)),"")</f>
        <v/>
      </c>
      <c r="W897" s="97" t="str">
        <f t="array" ref="W897">IFERROR(INDEX(DFD!$E$2:$E$1048791,MATCH($Q897,DFD!$B$2:$B$1048791,0)),"")</f>
        <v/>
      </c>
      <c r="X897" s="97" t="str">
        <f t="array" ref="X897">IFERROR(INDEX(DFD!$K$2:$K$1048791,MATCH($Q897,DFD!$B$2:$B$1048791,0)),"")</f>
        <v/>
      </c>
      <c r="Y897" s="97" t="str">
        <f t="array" ref="Y897">IFERROR(INDEX(DFD!$L$2:$L$1048790,MATCH($Q897,DFD!$B$2:$B$1048790,0)),"")</f>
        <v/>
      </c>
      <c r="Z897" s="97">
        <f t="shared" si="18"/>
        <v>45</v>
      </c>
      <c r="AA897" s="87"/>
      <c r="AB897" s="87" t="s">
        <v>78</v>
      </c>
      <c r="AC897" s="87"/>
      <c r="AD897" s="99">
        <v>46043.0</v>
      </c>
      <c r="AE897" s="100">
        <f t="shared" si="19"/>
        <v>1</v>
      </c>
    </row>
    <row r="898" ht="15.75" customHeight="1">
      <c r="A898" s="59" t="s">
        <v>2431</v>
      </c>
      <c r="B898" s="59" t="s">
        <v>101</v>
      </c>
      <c r="C898" s="60" t="s">
        <v>2432</v>
      </c>
      <c r="D898" s="60" t="s">
        <v>51</v>
      </c>
      <c r="E898" s="60">
        <v>12.0</v>
      </c>
      <c r="F898" s="72">
        <v>7603.2</v>
      </c>
      <c r="G898" s="73" t="s">
        <v>53</v>
      </c>
      <c r="H898" s="74">
        <v>46204.0</v>
      </c>
      <c r="I898" s="67" t="s">
        <v>17</v>
      </c>
      <c r="J898" s="67" t="s">
        <v>54</v>
      </c>
      <c r="K898" s="67" t="s">
        <v>66</v>
      </c>
      <c r="L898" s="67" t="s">
        <v>56</v>
      </c>
      <c r="M898" s="73" t="s">
        <v>132</v>
      </c>
      <c r="N898" s="67" t="s">
        <v>58</v>
      </c>
      <c r="O898" s="59" t="s">
        <v>69</v>
      </c>
      <c r="P898" s="59"/>
      <c r="Q898" s="59" t="s">
        <v>124</v>
      </c>
      <c r="R898" s="76" t="s">
        <v>71</v>
      </c>
      <c r="S898" s="59"/>
      <c r="T898" s="59"/>
      <c r="U898" s="77" t="str">
        <f t="array" ref="U898">IFERROR(INDEX(DFD!$D$2:$D$1048791,MATCH($Q898,DFD!$B$2:$B$1048791,0)),"")</f>
        <v/>
      </c>
      <c r="V898" s="77" t="str">
        <f t="array" ref="V898">IFERROR(INDEX(DFD!$F$2:$F$1048791,MATCH($Q898,DFD!$B$2:$B$1048791,0)),"")</f>
        <v/>
      </c>
      <c r="W898" s="84" t="str">
        <f t="array" ref="W898">IFERROR(INDEX(DFD!$E$2:$E$1048791,MATCH($Q898,DFD!$B$2:$B$1048791,0)),"")</f>
        <v/>
      </c>
      <c r="X898" s="84" t="str">
        <f t="array" ref="X898">IFERROR(INDEX(DFD!$K$2:$K$1048791,MATCH($Q898,DFD!$B$2:$B$1048791,0)),"")</f>
        <v/>
      </c>
      <c r="Y898" s="84" t="str">
        <f t="array" ref="Y898">IFERROR(INDEX(DFD!$L$2:$L$1048790,MATCH($Q898,DFD!$B$2:$B$1048790,0)),"")</f>
        <v/>
      </c>
      <c r="Z898" s="84">
        <f t="shared" si="18"/>
        <v>45</v>
      </c>
      <c r="AA898" s="59"/>
      <c r="AB898" s="59" t="s">
        <v>78</v>
      </c>
      <c r="AC898" s="59"/>
      <c r="AD898" s="85">
        <v>46043.0</v>
      </c>
      <c r="AE898" s="86">
        <f t="shared" si="19"/>
        <v>1</v>
      </c>
    </row>
    <row r="899" ht="15.75" customHeight="1">
      <c r="A899" s="87" t="s">
        <v>2433</v>
      </c>
      <c r="B899" s="87" t="s">
        <v>101</v>
      </c>
      <c r="C899" s="88" t="s">
        <v>2434</v>
      </c>
      <c r="D899" s="88" t="s">
        <v>51</v>
      </c>
      <c r="E899" s="88">
        <v>30.0</v>
      </c>
      <c r="F899" s="89">
        <v>14400.0</v>
      </c>
      <c r="G899" s="90" t="s">
        <v>53</v>
      </c>
      <c r="H899" s="91">
        <v>46235.0</v>
      </c>
      <c r="I899" s="92" t="s">
        <v>17</v>
      </c>
      <c r="J899" s="92" t="s">
        <v>54</v>
      </c>
      <c r="K899" s="92" t="s">
        <v>66</v>
      </c>
      <c r="L899" s="92" t="s">
        <v>56</v>
      </c>
      <c r="M899" s="90" t="s">
        <v>68</v>
      </c>
      <c r="N899" s="92" t="s">
        <v>58</v>
      </c>
      <c r="O899" s="92" t="s">
        <v>89</v>
      </c>
      <c r="P899" s="87"/>
      <c r="Q899" s="87" t="s">
        <v>124</v>
      </c>
      <c r="R899" s="93" t="s">
        <v>71</v>
      </c>
      <c r="S899" s="87"/>
      <c r="T899" s="87"/>
      <c r="U899" s="94" t="str">
        <f t="array" ref="U899">IFERROR(INDEX(DFD!$D$2:$D$1048791,MATCH($Q899,DFD!$B$2:$B$1048791,0)),"")</f>
        <v/>
      </c>
      <c r="V899" s="94" t="str">
        <f t="array" ref="V899">IFERROR(INDEX(DFD!$F$2:$F$1048791,MATCH($Q899,DFD!$B$2:$B$1048791,0)),"")</f>
        <v/>
      </c>
      <c r="W899" s="97" t="str">
        <f t="array" ref="W899">IFERROR(INDEX(DFD!$E$2:$E$1048791,MATCH($Q899,DFD!$B$2:$B$1048791,0)),"")</f>
        <v/>
      </c>
      <c r="X899" s="97" t="str">
        <f t="array" ref="X899">IFERROR(INDEX(DFD!$K$2:$K$1048791,MATCH($Q899,DFD!$B$2:$B$1048791,0)),"")</f>
        <v/>
      </c>
      <c r="Y899" s="97" t="str">
        <f t="array" ref="Y899">IFERROR(INDEX(DFD!$L$2:$L$1048790,MATCH($Q899,DFD!$B$2:$B$1048790,0)),"")</f>
        <v/>
      </c>
      <c r="Z899" s="97">
        <f t="shared" si="18"/>
        <v>45</v>
      </c>
      <c r="AA899" s="87"/>
      <c r="AB899" s="87" t="s">
        <v>78</v>
      </c>
      <c r="AC899" s="87"/>
      <c r="AD899" s="99">
        <v>46043.0</v>
      </c>
      <c r="AE899" s="100">
        <f t="shared" si="19"/>
        <v>1</v>
      </c>
    </row>
    <row r="900" ht="15.75" customHeight="1">
      <c r="A900" s="59" t="s">
        <v>2435</v>
      </c>
      <c r="B900" s="59" t="s">
        <v>101</v>
      </c>
      <c r="C900" s="60" t="s">
        <v>2436</v>
      </c>
      <c r="D900" s="60" t="s">
        <v>51</v>
      </c>
      <c r="E900" s="60">
        <v>30.0</v>
      </c>
      <c r="F900" s="72">
        <v>7200.0</v>
      </c>
      <c r="G900" s="73" t="s">
        <v>53</v>
      </c>
      <c r="H900" s="74">
        <v>46204.0</v>
      </c>
      <c r="I900" s="67" t="s">
        <v>17</v>
      </c>
      <c r="J900" s="67" t="s">
        <v>54</v>
      </c>
      <c r="K900" s="67" t="s">
        <v>66</v>
      </c>
      <c r="L900" s="67" t="s">
        <v>56</v>
      </c>
      <c r="M900" s="73" t="s">
        <v>112</v>
      </c>
      <c r="N900" s="67" t="s">
        <v>58</v>
      </c>
      <c r="O900" s="59" t="s">
        <v>69</v>
      </c>
      <c r="P900" s="59"/>
      <c r="Q900" s="59" t="s">
        <v>124</v>
      </c>
      <c r="R900" s="76" t="s">
        <v>71</v>
      </c>
      <c r="S900" s="59"/>
      <c r="T900" s="59"/>
      <c r="U900" s="77" t="str">
        <f t="array" ref="U900">IFERROR(INDEX(DFD!$D$2:$D$1048791,MATCH($Q900,DFD!$B$2:$B$1048791,0)),"")</f>
        <v/>
      </c>
      <c r="V900" s="77" t="str">
        <f t="array" ref="V900">IFERROR(INDEX(DFD!$F$2:$F$1048791,MATCH($Q900,DFD!$B$2:$B$1048791,0)),"")</f>
        <v/>
      </c>
      <c r="W900" s="84" t="str">
        <f t="array" ref="W900">IFERROR(INDEX(DFD!$E$2:$E$1048791,MATCH($Q900,DFD!$B$2:$B$1048791,0)),"")</f>
        <v/>
      </c>
      <c r="X900" s="84" t="str">
        <f t="array" ref="X900">IFERROR(INDEX(DFD!$K$2:$K$1048791,MATCH($Q900,DFD!$B$2:$B$1048791,0)),"")</f>
        <v/>
      </c>
      <c r="Y900" s="84" t="str">
        <f t="array" ref="Y900">IFERROR(INDEX(DFD!$L$2:$L$1048790,MATCH($Q900,DFD!$B$2:$B$1048790,0)),"")</f>
        <v/>
      </c>
      <c r="Z900" s="84">
        <f t="shared" si="18"/>
        <v>45</v>
      </c>
      <c r="AA900" s="59"/>
      <c r="AB900" s="59" t="s">
        <v>78</v>
      </c>
      <c r="AC900" s="59"/>
      <c r="AD900" s="85">
        <v>46043.0</v>
      </c>
      <c r="AE900" s="86">
        <f t="shared" si="19"/>
        <v>1</v>
      </c>
    </row>
    <row r="901" ht="15.75" customHeight="1">
      <c r="A901" s="87" t="s">
        <v>2437</v>
      </c>
      <c r="B901" s="87" t="s">
        <v>101</v>
      </c>
      <c r="C901" s="88" t="s">
        <v>2438</v>
      </c>
      <c r="D901" s="88" t="s">
        <v>51</v>
      </c>
      <c r="E901" s="88">
        <v>12.0</v>
      </c>
      <c r="F901" s="89">
        <v>420.0</v>
      </c>
      <c r="G901" s="90" t="s">
        <v>53</v>
      </c>
      <c r="H901" s="91">
        <v>46174.0</v>
      </c>
      <c r="I901" s="92" t="s">
        <v>17</v>
      </c>
      <c r="J901" s="92" t="s">
        <v>54</v>
      </c>
      <c r="K901" s="92" t="s">
        <v>66</v>
      </c>
      <c r="L901" s="92" t="s">
        <v>56</v>
      </c>
      <c r="M901" s="90" t="s">
        <v>132</v>
      </c>
      <c r="N901" s="92" t="s">
        <v>58</v>
      </c>
      <c r="O901" s="87" t="s">
        <v>69</v>
      </c>
      <c r="P901" s="87"/>
      <c r="Q901" s="87" t="s">
        <v>980</v>
      </c>
      <c r="R901" s="93" t="s">
        <v>402</v>
      </c>
      <c r="S901" s="87"/>
      <c r="T901" s="87"/>
      <c r="U901" s="94" t="str">
        <f t="array" ref="U901">IFERROR(INDEX(DFD!$D$2:$D$1048791,MATCH($Q901,DFD!$B$2:$B$1048791,0)),"")</f>
        <v/>
      </c>
      <c r="V901" s="94" t="str">
        <f t="array" ref="V901">IFERROR(INDEX(DFD!$F$2:$F$1048791,MATCH($Q901,DFD!$B$2:$B$1048791,0)),"")</f>
        <v/>
      </c>
      <c r="W901" s="97" t="str">
        <f t="array" ref="W901">IFERROR(INDEX(DFD!$E$2:$E$1048791,MATCH($Q901,DFD!$B$2:$B$1048791,0)),"")</f>
        <v/>
      </c>
      <c r="X901" s="97" t="str">
        <f t="array" ref="X901">IFERROR(INDEX(DFD!$K$2:$K$1048791,MATCH($Q901,DFD!$B$2:$B$1048791,0)),"")</f>
        <v/>
      </c>
      <c r="Y901" s="97" t="str">
        <f t="array" ref="Y901">IFERROR(INDEX(DFD!$L$2:$L$1048790,MATCH($Q901,DFD!$B$2:$B$1048790,0)),"")</f>
        <v/>
      </c>
      <c r="Z901" s="97">
        <f t="shared" si="18"/>
        <v>45</v>
      </c>
      <c r="AA901" s="87"/>
      <c r="AB901" s="87" t="s">
        <v>78</v>
      </c>
      <c r="AC901" s="87"/>
      <c r="AD901" s="99">
        <v>46043.0</v>
      </c>
      <c r="AE901" s="100">
        <f t="shared" si="19"/>
        <v>1</v>
      </c>
    </row>
    <row r="902" ht="15.75" customHeight="1">
      <c r="A902" s="59" t="s">
        <v>2439</v>
      </c>
      <c r="B902" s="59" t="s">
        <v>101</v>
      </c>
      <c r="C902" s="60" t="s">
        <v>2440</v>
      </c>
      <c r="D902" s="60" t="s">
        <v>51</v>
      </c>
      <c r="E902" s="60">
        <v>12.0</v>
      </c>
      <c r="F902" s="72">
        <v>720.0</v>
      </c>
      <c r="G902" s="73" t="s">
        <v>53</v>
      </c>
      <c r="H902" s="74">
        <v>46174.0</v>
      </c>
      <c r="I902" s="67" t="s">
        <v>17</v>
      </c>
      <c r="J902" s="67" t="s">
        <v>54</v>
      </c>
      <c r="K902" s="67" t="s">
        <v>66</v>
      </c>
      <c r="L902" s="67" t="s">
        <v>56</v>
      </c>
      <c r="M902" s="73" t="s">
        <v>68</v>
      </c>
      <c r="N902" s="67" t="s">
        <v>58</v>
      </c>
      <c r="O902" s="67" t="s">
        <v>89</v>
      </c>
      <c r="P902" s="59"/>
      <c r="Q902" s="59" t="s">
        <v>980</v>
      </c>
      <c r="R902" s="76" t="s">
        <v>402</v>
      </c>
      <c r="S902" s="59"/>
      <c r="T902" s="59"/>
      <c r="U902" s="77" t="str">
        <f t="array" ref="U902">IFERROR(INDEX(DFD!$D$2:$D$1048791,MATCH($Q902,DFD!$B$2:$B$1048791,0)),"")</f>
        <v/>
      </c>
      <c r="V902" s="77" t="str">
        <f t="array" ref="V902">IFERROR(INDEX(DFD!$F$2:$F$1048791,MATCH($Q902,DFD!$B$2:$B$1048791,0)),"")</f>
        <v/>
      </c>
      <c r="W902" s="84" t="str">
        <f t="array" ref="W902">IFERROR(INDEX(DFD!$E$2:$E$1048791,MATCH($Q902,DFD!$B$2:$B$1048791,0)),"")</f>
        <v/>
      </c>
      <c r="X902" s="84" t="str">
        <f t="array" ref="X902">IFERROR(INDEX(DFD!$K$2:$K$1048791,MATCH($Q902,DFD!$B$2:$B$1048791,0)),"")</f>
        <v/>
      </c>
      <c r="Y902" s="84" t="str">
        <f t="array" ref="Y902">IFERROR(INDEX(DFD!$L$2:$L$1048790,MATCH($Q902,DFD!$B$2:$B$1048790,0)),"")</f>
        <v/>
      </c>
      <c r="Z902" s="84">
        <f t="shared" si="18"/>
        <v>45</v>
      </c>
      <c r="AA902" s="59"/>
      <c r="AB902" s="59" t="s">
        <v>78</v>
      </c>
      <c r="AC902" s="59"/>
      <c r="AD902" s="85">
        <v>46043.0</v>
      </c>
      <c r="AE902" s="86">
        <f t="shared" si="19"/>
        <v>1</v>
      </c>
    </row>
    <row r="903" ht="15.75" customHeight="1">
      <c r="A903" s="87" t="s">
        <v>2441</v>
      </c>
      <c r="B903" s="87" t="s">
        <v>101</v>
      </c>
      <c r="C903" s="88" t="s">
        <v>2442</v>
      </c>
      <c r="D903" s="88" t="s">
        <v>51</v>
      </c>
      <c r="E903" s="88">
        <v>2.0</v>
      </c>
      <c r="F903" s="89">
        <v>160.0</v>
      </c>
      <c r="G903" s="90" t="s">
        <v>53</v>
      </c>
      <c r="H903" s="91">
        <v>46143.0</v>
      </c>
      <c r="I903" s="92" t="s">
        <v>17</v>
      </c>
      <c r="J903" s="92" t="s">
        <v>54</v>
      </c>
      <c r="K903" s="92" t="s">
        <v>66</v>
      </c>
      <c r="L903" s="92" t="s">
        <v>56</v>
      </c>
      <c r="M903" s="90" t="s">
        <v>112</v>
      </c>
      <c r="N903" s="92" t="s">
        <v>58</v>
      </c>
      <c r="O903" s="87" t="s">
        <v>69</v>
      </c>
      <c r="P903" s="87"/>
      <c r="Q903" s="87" t="s">
        <v>2161</v>
      </c>
      <c r="R903" s="93" t="s">
        <v>181</v>
      </c>
      <c r="S903" s="87"/>
      <c r="T903" s="87"/>
      <c r="U903" s="94" t="str">
        <f t="array" ref="U903">IFERROR(INDEX(DFD!$D$2:$D$1048791,MATCH($Q903,DFD!$B$2:$B$1048791,0)),"")</f>
        <v/>
      </c>
      <c r="V903" s="94" t="str">
        <f t="array" ref="V903">IFERROR(INDEX(DFD!$F$2:$F$1048791,MATCH($Q903,DFD!$B$2:$B$1048791,0)),"")</f>
        <v/>
      </c>
      <c r="W903" s="97" t="str">
        <f t="array" ref="W903">IFERROR(INDEX(DFD!$E$2:$E$1048791,MATCH($Q903,DFD!$B$2:$B$1048791,0)),"")</f>
        <v/>
      </c>
      <c r="X903" s="97" t="str">
        <f t="array" ref="X903">IFERROR(INDEX(DFD!$K$2:$K$1048791,MATCH($Q903,DFD!$B$2:$B$1048791,0)),"")</f>
        <v/>
      </c>
      <c r="Y903" s="97" t="str">
        <f t="array" ref="Y903">IFERROR(INDEX(DFD!$L$2:$L$1048790,MATCH($Q903,DFD!$B$2:$B$1048790,0)),"")</f>
        <v/>
      </c>
      <c r="Z903" s="97">
        <f t="shared" si="18"/>
        <v>45</v>
      </c>
      <c r="AA903" s="87"/>
      <c r="AB903" s="87" t="s">
        <v>78</v>
      </c>
      <c r="AC903" s="87"/>
      <c r="AD903" s="99">
        <v>46043.0</v>
      </c>
      <c r="AE903" s="100">
        <f t="shared" si="19"/>
        <v>1</v>
      </c>
    </row>
    <row r="904" ht="15.75" customHeight="1">
      <c r="A904" s="59" t="s">
        <v>2443</v>
      </c>
      <c r="B904" s="59" t="s">
        <v>355</v>
      </c>
      <c r="C904" s="60" t="s">
        <v>2444</v>
      </c>
      <c r="D904" s="60" t="s">
        <v>51</v>
      </c>
      <c r="E904" s="60">
        <v>4.0</v>
      </c>
      <c r="F904" s="72">
        <v>240.0</v>
      </c>
      <c r="G904" s="73" t="s">
        <v>53</v>
      </c>
      <c r="H904" s="74">
        <v>46143.0</v>
      </c>
      <c r="I904" s="67" t="s">
        <v>17</v>
      </c>
      <c r="J904" s="67" t="s">
        <v>54</v>
      </c>
      <c r="K904" s="67" t="s">
        <v>66</v>
      </c>
      <c r="L904" s="67" t="s">
        <v>56</v>
      </c>
      <c r="M904" s="73" t="s">
        <v>112</v>
      </c>
      <c r="N904" s="67" t="s">
        <v>58</v>
      </c>
      <c r="O904" s="59" t="s">
        <v>69</v>
      </c>
      <c r="P904" s="59"/>
      <c r="Q904" s="59" t="s">
        <v>2161</v>
      </c>
      <c r="R904" s="76" t="s">
        <v>181</v>
      </c>
      <c r="S904" s="59"/>
      <c r="T904" s="59"/>
      <c r="U904" s="77" t="str">
        <f t="array" ref="U904">IFERROR(INDEX(DFD!$D$2:$D$1048791,MATCH($Q904,DFD!$B$2:$B$1048791,0)),"")</f>
        <v/>
      </c>
      <c r="V904" s="77" t="str">
        <f t="array" ref="V904">IFERROR(INDEX(DFD!$F$2:$F$1048791,MATCH($Q904,DFD!$B$2:$B$1048791,0)),"")</f>
        <v/>
      </c>
      <c r="W904" s="84" t="str">
        <f t="array" ref="W904">IFERROR(INDEX(DFD!$E$2:$E$1048791,MATCH($Q904,DFD!$B$2:$B$1048791,0)),"")</f>
        <v/>
      </c>
      <c r="X904" s="84" t="str">
        <f t="array" ref="X904">IFERROR(INDEX(DFD!$K$2:$K$1048791,MATCH($Q904,DFD!$B$2:$B$1048791,0)),"")</f>
        <v/>
      </c>
      <c r="Y904" s="84" t="str">
        <f t="array" ref="Y904">IFERROR(INDEX(DFD!$L$2:$L$1048790,MATCH($Q904,DFD!$B$2:$B$1048790,0)),"")</f>
        <v/>
      </c>
      <c r="Z904" s="84">
        <f t="shared" si="18"/>
        <v>45</v>
      </c>
      <c r="AA904" s="59"/>
      <c r="AB904" s="59" t="s">
        <v>78</v>
      </c>
      <c r="AC904" s="59"/>
      <c r="AD904" s="85">
        <v>46043.0</v>
      </c>
      <c r="AE904" s="86">
        <f t="shared" si="19"/>
        <v>1</v>
      </c>
    </row>
    <row r="905" ht="15.75" customHeight="1">
      <c r="A905" s="92" t="s">
        <v>2445</v>
      </c>
      <c r="B905" s="87" t="s">
        <v>155</v>
      </c>
      <c r="C905" s="88" t="s">
        <v>2446</v>
      </c>
      <c r="D905" s="88" t="s">
        <v>51</v>
      </c>
      <c r="E905" s="88">
        <v>1.0</v>
      </c>
      <c r="F905" s="89">
        <v>750.0</v>
      </c>
      <c r="G905" s="90" t="s">
        <v>53</v>
      </c>
      <c r="H905" s="91">
        <v>46174.0</v>
      </c>
      <c r="I905" s="92" t="s">
        <v>17</v>
      </c>
      <c r="J905" s="92" t="s">
        <v>54</v>
      </c>
      <c r="K905" s="92" t="s">
        <v>66</v>
      </c>
      <c r="L905" s="92" t="s">
        <v>56</v>
      </c>
      <c r="M905" s="90" t="s">
        <v>68</v>
      </c>
      <c r="N905" s="92" t="s">
        <v>20</v>
      </c>
      <c r="O905" s="92" t="s">
        <v>89</v>
      </c>
      <c r="P905" s="87"/>
      <c r="Q905" s="87" t="s">
        <v>1356</v>
      </c>
      <c r="R905" s="93" t="s">
        <v>503</v>
      </c>
      <c r="S905" s="87"/>
      <c r="T905" s="87"/>
      <c r="U905" s="94" t="str">
        <f t="array" ref="U905">IFERROR(INDEX(DFD!$D$2:$D$1048791,MATCH($Q905,DFD!$B$2:$B$1048791,0)),"")</f>
        <v/>
      </c>
      <c r="V905" s="94" t="s">
        <v>280</v>
      </c>
      <c r="W905" s="97" t="str">
        <f t="array" ref="W905">IFERROR(INDEX(DFD!$E$2:$E$1048791,MATCH($Q905,DFD!$B$2:$B$1048791,0)),"")</f>
        <v/>
      </c>
      <c r="X905" s="97" t="str">
        <f t="array" ref="X905">IFERROR(INDEX(DFD!$K$2:$K$1048791,MATCH($Q905,DFD!$B$2:$B$1048791,0)),"")</f>
        <v/>
      </c>
      <c r="Y905" s="97" t="str">
        <f t="array" ref="Y905">IFERROR(INDEX(DFD!$L$2:$L$1048790,MATCH($Q905,DFD!$B$2:$B$1048790,0)),"")</f>
        <v/>
      </c>
      <c r="Z905" s="97">
        <f t="shared" si="18"/>
        <v>45</v>
      </c>
      <c r="AA905" s="87"/>
      <c r="AB905" s="87" t="s">
        <v>78</v>
      </c>
      <c r="AC905" s="87"/>
      <c r="AD905" s="99">
        <v>46043.0</v>
      </c>
      <c r="AE905" s="100">
        <f t="shared" si="19"/>
        <v>1</v>
      </c>
    </row>
    <row r="906" ht="15.75" customHeight="1">
      <c r="A906" s="67" t="s">
        <v>2447</v>
      </c>
      <c r="B906" s="59" t="s">
        <v>155</v>
      </c>
      <c r="C906" s="60" t="s">
        <v>2448</v>
      </c>
      <c r="D906" s="60" t="s">
        <v>51</v>
      </c>
      <c r="E906" s="60">
        <v>1.0</v>
      </c>
      <c r="F906" s="72">
        <v>1920.0</v>
      </c>
      <c r="G906" s="73" t="s">
        <v>53</v>
      </c>
      <c r="H906" s="74">
        <v>46031.0</v>
      </c>
      <c r="I906" s="67" t="s">
        <v>17</v>
      </c>
      <c r="J906" s="67" t="s">
        <v>54</v>
      </c>
      <c r="K906" s="67" t="s">
        <v>372</v>
      </c>
      <c r="L906" s="67" t="s">
        <v>67</v>
      </c>
      <c r="M906" s="73" t="s">
        <v>117</v>
      </c>
      <c r="N906" s="67" t="s">
        <v>20</v>
      </c>
      <c r="O906" s="59" t="s">
        <v>69</v>
      </c>
      <c r="P906" s="59"/>
      <c r="Q906" s="59" t="s">
        <v>2449</v>
      </c>
      <c r="R906" s="76" t="s">
        <v>164</v>
      </c>
      <c r="S906" s="59"/>
      <c r="T906" s="59"/>
      <c r="U906" s="77" t="str">
        <f t="array" ref="U906">IFERROR(INDEX(DFD!$D$2:$D$1048791,MATCH($Q906,DFD!$B$2:$B$1048791,0)),"")</f>
        <v/>
      </c>
      <c r="V906" s="77" t="str">
        <f t="array" ref="V906">IFERROR(INDEX(DFD!$F$2:$F$1048791,MATCH($Q906,DFD!$B$2:$B$1048791,0)),"")</f>
        <v/>
      </c>
      <c r="W906" s="84" t="str">
        <f t="array" ref="W906">IFERROR(INDEX(DFD!$E$2:$E$1048791,MATCH($Q906,DFD!$B$2:$B$1048791,0)),"")</f>
        <v/>
      </c>
      <c r="X906" s="84" t="str">
        <f t="array" ref="X906">IFERROR(INDEX(DFD!$K$2:$K$1048791,MATCH($Q906,DFD!$B$2:$B$1048791,0)),"")</f>
        <v/>
      </c>
      <c r="Y906" s="84" t="str">
        <f t="array" ref="Y906">IFERROR(INDEX(DFD!$L$2:$L$1048790,MATCH($Q906,DFD!$B$2:$B$1048790,0)),"")</f>
        <v/>
      </c>
      <c r="Z906" s="84">
        <f t="shared" si="18"/>
        <v>45</v>
      </c>
      <c r="AA906" s="59"/>
      <c r="AB906" s="59" t="s">
        <v>78</v>
      </c>
      <c r="AC906" s="59"/>
      <c r="AD906" s="85">
        <v>46043.0</v>
      </c>
      <c r="AE906" s="86">
        <f t="shared" si="19"/>
        <v>1</v>
      </c>
    </row>
    <row r="907" ht="15.75" customHeight="1">
      <c r="A907" s="87" t="s">
        <v>2450</v>
      </c>
      <c r="B907" s="87" t="s">
        <v>101</v>
      </c>
      <c r="C907" s="88" t="s">
        <v>2451</v>
      </c>
      <c r="D907" s="88" t="s">
        <v>51</v>
      </c>
      <c r="E907" s="88">
        <v>30.0</v>
      </c>
      <c r="F907" s="89">
        <v>14700.0</v>
      </c>
      <c r="G907" s="90" t="s">
        <v>53</v>
      </c>
      <c r="H907" s="91">
        <v>46235.0</v>
      </c>
      <c r="I907" s="92" t="s">
        <v>17</v>
      </c>
      <c r="J907" s="92" t="s">
        <v>54</v>
      </c>
      <c r="K907" s="92" t="s">
        <v>66</v>
      </c>
      <c r="L907" s="92" t="s">
        <v>56</v>
      </c>
      <c r="M907" s="90" t="s">
        <v>132</v>
      </c>
      <c r="N907" s="92" t="s">
        <v>58</v>
      </c>
      <c r="O907" s="87" t="s">
        <v>69</v>
      </c>
      <c r="P907" s="87"/>
      <c r="Q907" s="87" t="s">
        <v>2198</v>
      </c>
      <c r="R907" s="93" t="s">
        <v>269</v>
      </c>
      <c r="S907" s="87"/>
      <c r="T907" s="87"/>
      <c r="U907" s="94" t="str">
        <f t="array" ref="U907">IFERROR(INDEX(DFD!$D$2:$D$1048791,MATCH($Q907,DFD!$B$2:$B$1048791,0)),"")</f>
        <v/>
      </c>
      <c r="V907" s="94" t="str">
        <f t="array" ref="V907">IFERROR(INDEX(DFD!$F$2:$F$1048791,MATCH($Q907,DFD!$B$2:$B$1048791,0)),"")</f>
        <v/>
      </c>
      <c r="W907" s="97" t="str">
        <f t="array" ref="W907">IFERROR(INDEX(DFD!$E$2:$E$1048791,MATCH($Q907,DFD!$B$2:$B$1048791,0)),"")</f>
        <v/>
      </c>
      <c r="X907" s="97" t="str">
        <f t="array" ref="X907">IFERROR(INDEX(DFD!$K$2:$K$1048791,MATCH($Q907,DFD!$B$2:$B$1048791,0)),"")</f>
        <v/>
      </c>
      <c r="Y907" s="97" t="str">
        <f t="array" ref="Y907">IFERROR(INDEX(DFD!$L$2:$L$1048790,MATCH($Q907,DFD!$B$2:$B$1048790,0)),"")</f>
        <v/>
      </c>
      <c r="Z907" s="97">
        <f t="shared" si="18"/>
        <v>45</v>
      </c>
      <c r="AA907" s="87"/>
      <c r="AB907" s="87" t="s">
        <v>78</v>
      </c>
      <c r="AC907" s="87"/>
      <c r="AD907" s="99">
        <v>46043.0</v>
      </c>
      <c r="AE907" s="100">
        <f t="shared" si="19"/>
        <v>1</v>
      </c>
    </row>
    <row r="908" ht="15.75" customHeight="1">
      <c r="A908" s="67" t="s">
        <v>2452</v>
      </c>
      <c r="B908" s="59" t="s">
        <v>184</v>
      </c>
      <c r="C908" s="60" t="s">
        <v>2453</v>
      </c>
      <c r="D908" s="60" t="s">
        <v>51</v>
      </c>
      <c r="E908" s="60">
        <v>100.0</v>
      </c>
      <c r="F908" s="72">
        <v>55000.0</v>
      </c>
      <c r="G908" s="73" t="s">
        <v>53</v>
      </c>
      <c r="H908" s="74">
        <v>46266.0</v>
      </c>
      <c r="I908" s="67" t="s">
        <v>17</v>
      </c>
      <c r="J908" s="67" t="s">
        <v>54</v>
      </c>
      <c r="K908" s="67" t="s">
        <v>66</v>
      </c>
      <c r="L908" s="67" t="s">
        <v>56</v>
      </c>
      <c r="M908" s="73" t="s">
        <v>112</v>
      </c>
      <c r="N908" s="67" t="s">
        <v>20</v>
      </c>
      <c r="O908" s="67" t="s">
        <v>89</v>
      </c>
      <c r="P908" s="59"/>
      <c r="Q908" s="59" t="s">
        <v>2198</v>
      </c>
      <c r="R908" s="76" t="s">
        <v>269</v>
      </c>
      <c r="S908" s="59"/>
      <c r="T908" s="59"/>
      <c r="U908" s="77" t="str">
        <f t="array" ref="U908">IFERROR(INDEX(DFD!$D$2:$D$1048791,MATCH($Q908,DFD!$B$2:$B$1048791,0)),"")</f>
        <v/>
      </c>
      <c r="V908" s="77" t="str">
        <f t="array" ref="V908">IFERROR(INDEX(DFD!$F$2:$F$1048791,MATCH($Q908,DFD!$B$2:$B$1048791,0)),"")</f>
        <v/>
      </c>
      <c r="W908" s="84" t="str">
        <f t="array" ref="W908">IFERROR(INDEX(DFD!$E$2:$E$1048791,MATCH($Q908,DFD!$B$2:$B$1048791,0)),"")</f>
        <v/>
      </c>
      <c r="X908" s="84" t="str">
        <f t="array" ref="X908">IFERROR(INDEX(DFD!$K$2:$K$1048791,MATCH($Q908,DFD!$B$2:$B$1048791,0)),"")</f>
        <v/>
      </c>
      <c r="Y908" s="84" t="str">
        <f t="array" ref="Y908">IFERROR(INDEX(DFD!$L$2:$L$1048790,MATCH($Q908,DFD!$B$2:$B$1048790,0)),"")</f>
        <v/>
      </c>
      <c r="Z908" s="84">
        <f t="shared" si="18"/>
        <v>45</v>
      </c>
      <c r="AA908" s="59"/>
      <c r="AB908" s="59" t="s">
        <v>78</v>
      </c>
      <c r="AC908" s="59"/>
      <c r="AD908" s="85">
        <v>46043.0</v>
      </c>
      <c r="AE908" s="86">
        <f t="shared" si="19"/>
        <v>1</v>
      </c>
    </row>
    <row r="909" ht="15.75" customHeight="1">
      <c r="A909" s="87" t="s">
        <v>2454</v>
      </c>
      <c r="B909" s="87" t="s">
        <v>101</v>
      </c>
      <c r="C909" s="88" t="s">
        <v>2455</v>
      </c>
      <c r="D909" s="88" t="s">
        <v>51</v>
      </c>
      <c r="E909" s="88">
        <v>4.0</v>
      </c>
      <c r="F909" s="89">
        <v>8800.0</v>
      </c>
      <c r="G909" s="90" t="s">
        <v>53</v>
      </c>
      <c r="H909" s="91">
        <v>46204.0</v>
      </c>
      <c r="I909" s="92" t="s">
        <v>17</v>
      </c>
      <c r="J909" s="92" t="s">
        <v>54</v>
      </c>
      <c r="K909" s="92" t="s">
        <v>66</v>
      </c>
      <c r="L909" s="92" t="s">
        <v>56</v>
      </c>
      <c r="M909" s="90" t="s">
        <v>112</v>
      </c>
      <c r="N909" s="92" t="s">
        <v>58</v>
      </c>
      <c r="O909" s="87" t="s">
        <v>69</v>
      </c>
      <c r="P909" s="87"/>
      <c r="Q909" s="87" t="s">
        <v>2198</v>
      </c>
      <c r="R909" s="93" t="s">
        <v>269</v>
      </c>
      <c r="S909" s="87"/>
      <c r="T909" s="87"/>
      <c r="U909" s="94" t="str">
        <f t="array" ref="U909">IFERROR(INDEX(DFD!$D$2:$D$1048791,MATCH($Q909,DFD!$B$2:$B$1048791,0)),"")</f>
        <v/>
      </c>
      <c r="V909" s="94" t="str">
        <f t="array" ref="V909">IFERROR(INDEX(DFD!$F$2:$F$1048791,MATCH($Q909,DFD!$B$2:$B$1048791,0)),"")</f>
        <v/>
      </c>
      <c r="W909" s="97" t="str">
        <f t="array" ref="W909">IFERROR(INDEX(DFD!$E$2:$E$1048791,MATCH($Q909,DFD!$B$2:$B$1048791,0)),"")</f>
        <v/>
      </c>
      <c r="X909" s="97" t="str">
        <f t="array" ref="X909">IFERROR(INDEX(DFD!$K$2:$K$1048791,MATCH($Q909,DFD!$B$2:$B$1048791,0)),"")</f>
        <v/>
      </c>
      <c r="Y909" s="97" t="str">
        <f t="array" ref="Y909">IFERROR(INDEX(DFD!$L$2:$L$1048790,MATCH($Q909,DFD!$B$2:$B$1048790,0)),"")</f>
        <v/>
      </c>
      <c r="Z909" s="97">
        <f t="shared" si="18"/>
        <v>45</v>
      </c>
      <c r="AA909" s="87"/>
      <c r="AB909" s="87" t="s">
        <v>78</v>
      </c>
      <c r="AC909" s="87"/>
      <c r="AD909" s="99">
        <v>46043.0</v>
      </c>
      <c r="AE909" s="100">
        <f t="shared" si="19"/>
        <v>1</v>
      </c>
    </row>
    <row r="910" ht="15.75" customHeight="1">
      <c r="A910" s="67" t="s">
        <v>2456</v>
      </c>
      <c r="B910" s="59" t="s">
        <v>184</v>
      </c>
      <c r="C910" s="60" t="s">
        <v>2457</v>
      </c>
      <c r="D910" s="60" t="s">
        <v>51</v>
      </c>
      <c r="E910" s="60">
        <v>50.0</v>
      </c>
      <c r="F910" s="72">
        <v>500.0</v>
      </c>
      <c r="G910" s="73" t="s">
        <v>53</v>
      </c>
      <c r="H910" s="74">
        <v>46174.0</v>
      </c>
      <c r="I910" s="67" t="s">
        <v>17</v>
      </c>
      <c r="J910" s="67" t="s">
        <v>54</v>
      </c>
      <c r="K910" s="67" t="s">
        <v>66</v>
      </c>
      <c r="L910" s="67" t="s">
        <v>67</v>
      </c>
      <c r="M910" s="73" t="s">
        <v>117</v>
      </c>
      <c r="N910" s="67" t="s">
        <v>20</v>
      </c>
      <c r="O910" s="59" t="s">
        <v>69</v>
      </c>
      <c r="P910" s="59"/>
      <c r="Q910" s="59" t="s">
        <v>800</v>
      </c>
      <c r="R910" s="76" t="s">
        <v>287</v>
      </c>
      <c r="S910" s="59"/>
      <c r="T910" s="59"/>
      <c r="U910" s="77" t="str">
        <f t="array" ref="U910">IFERROR(INDEX(DFD!$D$2:$D$1048791,MATCH($Q910,DFD!$B$2:$B$1048791,0)),"")</f>
        <v/>
      </c>
      <c r="V910" s="77" t="str">
        <f t="array" ref="V910">IFERROR(INDEX(DFD!$F$2:$F$1048791,MATCH($Q910,DFD!$B$2:$B$1048791,0)),"")</f>
        <v/>
      </c>
      <c r="W910" s="84" t="str">
        <f t="array" ref="W910">IFERROR(INDEX(DFD!$E$2:$E$1048791,MATCH($Q910,DFD!$B$2:$B$1048791,0)),"")</f>
        <v/>
      </c>
      <c r="X910" s="84" t="str">
        <f t="array" ref="X910">IFERROR(INDEX(DFD!$K$2:$K$1048791,MATCH($Q910,DFD!$B$2:$B$1048791,0)),"")</f>
        <v/>
      </c>
      <c r="Y910" s="84" t="str">
        <f t="array" ref="Y910">IFERROR(INDEX(DFD!$L$2:$L$1048790,MATCH($Q910,DFD!$B$2:$B$1048790,0)),"")</f>
        <v/>
      </c>
      <c r="Z910" s="84">
        <f t="shared" si="18"/>
        <v>45</v>
      </c>
      <c r="AA910" s="59"/>
      <c r="AB910" s="59" t="s">
        <v>78</v>
      </c>
      <c r="AC910" s="59"/>
      <c r="AD910" s="85">
        <v>46043.0</v>
      </c>
      <c r="AE910" s="86">
        <f t="shared" si="19"/>
        <v>1</v>
      </c>
    </row>
    <row r="911" ht="15.75" customHeight="1">
      <c r="A911" s="87" t="s">
        <v>2458</v>
      </c>
      <c r="B911" s="87" t="s">
        <v>148</v>
      </c>
      <c r="C911" s="88" t="s">
        <v>2459</v>
      </c>
      <c r="D911" s="88" t="s">
        <v>51</v>
      </c>
      <c r="E911" s="88">
        <v>12.0</v>
      </c>
      <c r="F911" s="89">
        <v>240.0</v>
      </c>
      <c r="G911" s="90" t="s">
        <v>53</v>
      </c>
      <c r="H911" s="91">
        <v>46143.0</v>
      </c>
      <c r="I911" s="92" t="s">
        <v>17</v>
      </c>
      <c r="J911" s="92" t="s">
        <v>54</v>
      </c>
      <c r="K911" s="92" t="s">
        <v>66</v>
      </c>
      <c r="L911" s="92" t="s">
        <v>67</v>
      </c>
      <c r="M911" s="90" t="s">
        <v>68</v>
      </c>
      <c r="N911" s="92" t="s">
        <v>5</v>
      </c>
      <c r="O911" s="92" t="s">
        <v>89</v>
      </c>
      <c r="P911" s="87"/>
      <c r="Q911" s="87" t="s">
        <v>576</v>
      </c>
      <c r="R911" s="93" t="s">
        <v>577</v>
      </c>
      <c r="S911" s="87"/>
      <c r="T911" s="87"/>
      <c r="U911" s="94" t="str">
        <f t="array" ref="U911">IFERROR(INDEX(DFD!$D$2:$D$1048791,MATCH($Q911,DFD!$B$2:$B$1048791,0)),"")</f>
        <v/>
      </c>
      <c r="V911" s="94" t="s">
        <v>280</v>
      </c>
      <c r="W911" s="97" t="str">
        <f t="array" ref="W911">IFERROR(INDEX(DFD!$E$2:$E$1048791,MATCH($Q911,DFD!$B$2:$B$1048791,0)),"")</f>
        <v/>
      </c>
      <c r="X911" s="97" t="str">
        <f t="array" ref="X911">IFERROR(INDEX(DFD!$K$2:$K$1048791,MATCH($Q911,DFD!$B$2:$B$1048791,0)),"")</f>
        <v/>
      </c>
      <c r="Y911" s="97" t="str">
        <f t="array" ref="Y911">IFERROR(INDEX(DFD!$L$2:$L$1048790,MATCH($Q911,DFD!$B$2:$B$1048790,0)),"")</f>
        <v/>
      </c>
      <c r="Z911" s="97">
        <f t="shared" si="18"/>
        <v>45</v>
      </c>
      <c r="AA911" s="87"/>
      <c r="AB911" s="87" t="s">
        <v>78</v>
      </c>
      <c r="AC911" s="87"/>
      <c r="AD911" s="99">
        <v>46043.0</v>
      </c>
      <c r="AE911" s="100">
        <f t="shared" si="19"/>
        <v>1</v>
      </c>
    </row>
    <row r="912" ht="15.75" customHeight="1">
      <c r="A912" s="59" t="s">
        <v>2460</v>
      </c>
      <c r="B912" s="59" t="s">
        <v>355</v>
      </c>
      <c r="C912" s="60" t="s">
        <v>2461</v>
      </c>
      <c r="D912" s="60" t="s">
        <v>2462</v>
      </c>
      <c r="E912" s="60">
        <v>10.0</v>
      </c>
      <c r="F912" s="72">
        <v>350.0</v>
      </c>
      <c r="G912" s="73" t="s">
        <v>53</v>
      </c>
      <c r="H912" s="74">
        <v>46174.0</v>
      </c>
      <c r="I912" s="67" t="s">
        <v>17</v>
      </c>
      <c r="J912" s="67" t="s">
        <v>54</v>
      </c>
      <c r="K912" s="67" t="s">
        <v>66</v>
      </c>
      <c r="L912" s="67" t="s">
        <v>56</v>
      </c>
      <c r="M912" s="73" t="s">
        <v>68</v>
      </c>
      <c r="N912" s="67" t="s">
        <v>58</v>
      </c>
      <c r="O912" s="59" t="s">
        <v>69</v>
      </c>
      <c r="P912" s="59"/>
      <c r="Q912" s="59" t="s">
        <v>113</v>
      </c>
      <c r="R912" s="76" t="s">
        <v>503</v>
      </c>
      <c r="S912" s="59"/>
      <c r="T912" s="59"/>
      <c r="U912" s="77" t="str">
        <f t="array" ref="U912">IFERROR(INDEX(DFD!$D$2:$D$1048791,MATCH($Q912,DFD!$B$2:$B$1048791,0)),"")</f>
        <v/>
      </c>
      <c r="V912" s="77" t="str">
        <f t="array" ref="V912">IFERROR(INDEX(DFD!$F$2:$F$1048791,MATCH($Q912,DFD!$B$2:$B$1048791,0)),"")</f>
        <v/>
      </c>
      <c r="W912" s="84" t="str">
        <f t="array" ref="W912">IFERROR(INDEX(DFD!$E$2:$E$1048791,MATCH($Q912,DFD!$B$2:$B$1048791,0)),"")</f>
        <v/>
      </c>
      <c r="X912" s="84" t="str">
        <f t="array" ref="X912">IFERROR(INDEX(DFD!$K$2:$K$1048791,MATCH($Q912,DFD!$B$2:$B$1048791,0)),"")</f>
        <v/>
      </c>
      <c r="Y912" s="84" t="str">
        <f t="array" ref="Y912">IFERROR(INDEX(DFD!$L$2:$L$1048790,MATCH($Q912,DFD!$B$2:$B$1048790,0)),"")</f>
        <v/>
      </c>
      <c r="Z912" s="84">
        <f t="shared" si="18"/>
        <v>45</v>
      </c>
      <c r="AA912" s="59"/>
      <c r="AB912" s="59" t="s">
        <v>78</v>
      </c>
      <c r="AC912" s="59"/>
      <c r="AD912" s="85">
        <v>46043.0</v>
      </c>
      <c r="AE912" s="86">
        <f t="shared" si="19"/>
        <v>1</v>
      </c>
    </row>
    <row r="913" ht="15.75" customHeight="1">
      <c r="A913" s="87" t="s">
        <v>2463</v>
      </c>
      <c r="B913" s="87" t="s">
        <v>355</v>
      </c>
      <c r="C913" s="88" t="s">
        <v>2464</v>
      </c>
      <c r="D913" s="88" t="s">
        <v>2462</v>
      </c>
      <c r="E913" s="88">
        <v>60.0</v>
      </c>
      <c r="F913" s="89">
        <v>2100.0</v>
      </c>
      <c r="G913" s="90" t="s">
        <v>53</v>
      </c>
      <c r="H913" s="91">
        <v>46174.0</v>
      </c>
      <c r="I913" s="92" t="s">
        <v>17</v>
      </c>
      <c r="J913" s="92" t="s">
        <v>54</v>
      </c>
      <c r="K913" s="92" t="s">
        <v>66</v>
      </c>
      <c r="L913" s="92" t="s">
        <v>56</v>
      </c>
      <c r="M913" s="90" t="s">
        <v>132</v>
      </c>
      <c r="N913" s="92" t="s">
        <v>58</v>
      </c>
      <c r="O913" s="87" t="s">
        <v>69</v>
      </c>
      <c r="P913" s="87"/>
      <c r="Q913" s="87" t="s">
        <v>113</v>
      </c>
      <c r="R913" s="93" t="s">
        <v>503</v>
      </c>
      <c r="S913" s="87"/>
      <c r="T913" s="87"/>
      <c r="U913" s="94" t="str">
        <f t="array" ref="U913">IFERROR(INDEX(DFD!$D$2:$D$1048791,MATCH($Q913,DFD!$B$2:$B$1048791,0)),"")</f>
        <v/>
      </c>
      <c r="V913" s="94" t="str">
        <f t="array" ref="V913">IFERROR(INDEX(DFD!$F$2:$F$1048791,MATCH($Q913,DFD!$B$2:$B$1048791,0)),"")</f>
        <v/>
      </c>
      <c r="W913" s="97" t="str">
        <f t="array" ref="W913">IFERROR(INDEX(DFD!$E$2:$E$1048791,MATCH($Q913,DFD!$B$2:$B$1048791,0)),"")</f>
        <v/>
      </c>
      <c r="X913" s="97" t="str">
        <f t="array" ref="X913">IFERROR(INDEX(DFD!$K$2:$K$1048791,MATCH($Q913,DFD!$B$2:$B$1048791,0)),"")</f>
        <v/>
      </c>
      <c r="Y913" s="97" t="str">
        <f t="array" ref="Y913">IFERROR(INDEX(DFD!$L$2:$L$1048790,MATCH($Q913,DFD!$B$2:$B$1048790,0)),"")</f>
        <v/>
      </c>
      <c r="Z913" s="97">
        <f t="shared" si="18"/>
        <v>45</v>
      </c>
      <c r="AA913" s="87"/>
      <c r="AB913" s="87" t="s">
        <v>78</v>
      </c>
      <c r="AC913" s="87"/>
      <c r="AD913" s="99">
        <v>46043.0</v>
      </c>
      <c r="AE913" s="100">
        <f t="shared" si="19"/>
        <v>1</v>
      </c>
    </row>
    <row r="914" ht="15.75" customHeight="1">
      <c r="A914" s="59" t="s">
        <v>2465</v>
      </c>
      <c r="B914" s="59" t="s">
        <v>101</v>
      </c>
      <c r="C914" s="60" t="s">
        <v>2466</v>
      </c>
      <c r="D914" s="60" t="s">
        <v>51</v>
      </c>
      <c r="E914" s="60">
        <v>2.0</v>
      </c>
      <c r="F914" s="72">
        <v>70.0</v>
      </c>
      <c r="G914" s="73" t="s">
        <v>53</v>
      </c>
      <c r="H914" s="74">
        <v>46143.0</v>
      </c>
      <c r="I914" s="67" t="s">
        <v>17</v>
      </c>
      <c r="J914" s="67" t="s">
        <v>54</v>
      </c>
      <c r="K914" s="67" t="s">
        <v>66</v>
      </c>
      <c r="L914" s="67" t="s">
        <v>56</v>
      </c>
      <c r="M914" s="73" t="s">
        <v>132</v>
      </c>
      <c r="N914" s="67" t="s">
        <v>58</v>
      </c>
      <c r="O914" s="67" t="s">
        <v>89</v>
      </c>
      <c r="P914" s="59"/>
      <c r="Q914" s="59" t="s">
        <v>113</v>
      </c>
      <c r="R914" s="76" t="s">
        <v>503</v>
      </c>
      <c r="S914" s="59"/>
      <c r="T914" s="59"/>
      <c r="U914" s="77" t="str">
        <f t="array" ref="U914">IFERROR(INDEX(DFD!$D$2:$D$1048791,MATCH($Q914,DFD!$B$2:$B$1048791,0)),"")</f>
        <v/>
      </c>
      <c r="V914" s="77" t="str">
        <f t="array" ref="V914">IFERROR(INDEX(DFD!$F$2:$F$1048791,MATCH($Q914,DFD!$B$2:$B$1048791,0)),"")</f>
        <v/>
      </c>
      <c r="W914" s="84" t="str">
        <f t="array" ref="W914">IFERROR(INDEX(DFD!$E$2:$E$1048791,MATCH($Q914,DFD!$B$2:$B$1048791,0)),"")</f>
        <v/>
      </c>
      <c r="X914" s="84" t="str">
        <f t="array" ref="X914">IFERROR(INDEX(DFD!$K$2:$K$1048791,MATCH($Q914,DFD!$B$2:$B$1048791,0)),"")</f>
        <v/>
      </c>
      <c r="Y914" s="84" t="str">
        <f t="array" ref="Y914">IFERROR(INDEX(DFD!$L$2:$L$1048790,MATCH($Q914,DFD!$B$2:$B$1048790,0)),"")</f>
        <v/>
      </c>
      <c r="Z914" s="84">
        <f t="shared" si="18"/>
        <v>45</v>
      </c>
      <c r="AA914" s="59"/>
      <c r="AB914" s="59" t="s">
        <v>78</v>
      </c>
      <c r="AC914" s="59"/>
      <c r="AD914" s="85">
        <v>46043.0</v>
      </c>
      <c r="AE914" s="86">
        <f t="shared" si="19"/>
        <v>1</v>
      </c>
    </row>
    <row r="915" ht="15.75" customHeight="1">
      <c r="A915" s="87" t="s">
        <v>2467</v>
      </c>
      <c r="B915" s="87" t="s">
        <v>101</v>
      </c>
      <c r="C915" s="88" t="s">
        <v>2468</v>
      </c>
      <c r="D915" s="88" t="s">
        <v>51</v>
      </c>
      <c r="E915" s="88">
        <v>2.0</v>
      </c>
      <c r="F915" s="89">
        <v>60.0</v>
      </c>
      <c r="G915" s="90" t="s">
        <v>53</v>
      </c>
      <c r="H915" s="91">
        <v>46143.0</v>
      </c>
      <c r="I915" s="92" t="s">
        <v>17</v>
      </c>
      <c r="J915" s="92" t="s">
        <v>54</v>
      </c>
      <c r="K915" s="92" t="s">
        <v>66</v>
      </c>
      <c r="L915" s="92" t="s">
        <v>56</v>
      </c>
      <c r="M915" s="90" t="s">
        <v>132</v>
      </c>
      <c r="N915" s="92" t="s">
        <v>58</v>
      </c>
      <c r="O915" s="87" t="s">
        <v>69</v>
      </c>
      <c r="P915" s="87"/>
      <c r="Q915" s="87" t="s">
        <v>113</v>
      </c>
      <c r="R915" s="93" t="s">
        <v>503</v>
      </c>
      <c r="S915" s="87"/>
      <c r="T915" s="87"/>
      <c r="U915" s="94" t="str">
        <f t="array" ref="U915">IFERROR(INDEX(DFD!$D$2:$D$1048791,MATCH($Q915,DFD!$B$2:$B$1048791,0)),"")</f>
        <v/>
      </c>
      <c r="V915" s="94" t="str">
        <f t="array" ref="V915">IFERROR(INDEX(DFD!$F$2:$F$1048791,MATCH($Q915,DFD!$B$2:$B$1048791,0)),"")</f>
        <v/>
      </c>
      <c r="W915" s="97" t="str">
        <f t="array" ref="W915">IFERROR(INDEX(DFD!$E$2:$E$1048791,MATCH($Q915,DFD!$B$2:$B$1048791,0)),"")</f>
        <v/>
      </c>
      <c r="X915" s="97" t="str">
        <f t="array" ref="X915">IFERROR(INDEX(DFD!$K$2:$K$1048791,MATCH($Q915,DFD!$B$2:$B$1048791,0)),"")</f>
        <v/>
      </c>
      <c r="Y915" s="97" t="str">
        <f t="array" ref="Y915">IFERROR(INDEX(DFD!$L$2:$L$1048790,MATCH($Q915,DFD!$B$2:$B$1048790,0)),"")</f>
        <v/>
      </c>
      <c r="Z915" s="97">
        <f t="shared" si="18"/>
        <v>45</v>
      </c>
      <c r="AA915" s="87"/>
      <c r="AB915" s="87" t="s">
        <v>78</v>
      </c>
      <c r="AC915" s="87"/>
      <c r="AD915" s="99">
        <v>46043.0</v>
      </c>
      <c r="AE915" s="100">
        <f t="shared" si="19"/>
        <v>1</v>
      </c>
    </row>
    <row r="916" ht="15.75" customHeight="1">
      <c r="A916" s="59" t="s">
        <v>2469</v>
      </c>
      <c r="B916" s="59" t="s">
        <v>101</v>
      </c>
      <c r="C916" s="60" t="s">
        <v>2470</v>
      </c>
      <c r="D916" s="60" t="s">
        <v>51</v>
      </c>
      <c r="E916" s="60">
        <v>2.0</v>
      </c>
      <c r="F916" s="72">
        <v>50.0</v>
      </c>
      <c r="G916" s="73" t="s">
        <v>53</v>
      </c>
      <c r="H916" s="74">
        <v>46143.0</v>
      </c>
      <c r="I916" s="67" t="s">
        <v>17</v>
      </c>
      <c r="J916" s="67" t="s">
        <v>54</v>
      </c>
      <c r="K916" s="67" t="s">
        <v>66</v>
      </c>
      <c r="L916" s="67" t="s">
        <v>56</v>
      </c>
      <c r="M916" s="73" t="s">
        <v>132</v>
      </c>
      <c r="N916" s="67" t="s">
        <v>58</v>
      </c>
      <c r="O916" s="59" t="s">
        <v>69</v>
      </c>
      <c r="P916" s="59"/>
      <c r="Q916" s="59" t="s">
        <v>113</v>
      </c>
      <c r="R916" s="76" t="s">
        <v>503</v>
      </c>
      <c r="S916" s="59"/>
      <c r="T916" s="59"/>
      <c r="U916" s="77" t="str">
        <f t="array" ref="U916">IFERROR(INDEX(DFD!$D$2:$D$1048791,MATCH($Q916,DFD!$B$2:$B$1048791,0)),"")</f>
        <v/>
      </c>
      <c r="V916" s="77" t="str">
        <f t="array" ref="V916">IFERROR(INDEX(DFD!$F$2:$F$1048791,MATCH($Q916,DFD!$B$2:$B$1048791,0)),"")</f>
        <v/>
      </c>
      <c r="W916" s="84" t="str">
        <f t="array" ref="W916">IFERROR(INDEX(DFD!$E$2:$E$1048791,MATCH($Q916,DFD!$B$2:$B$1048791,0)),"")</f>
        <v/>
      </c>
      <c r="X916" s="84" t="str">
        <f t="array" ref="X916">IFERROR(INDEX(DFD!$K$2:$K$1048791,MATCH($Q916,DFD!$B$2:$B$1048791,0)),"")</f>
        <v/>
      </c>
      <c r="Y916" s="84" t="str">
        <f t="array" ref="Y916">IFERROR(INDEX(DFD!$L$2:$L$1048790,MATCH($Q916,DFD!$B$2:$B$1048790,0)),"")</f>
        <v/>
      </c>
      <c r="Z916" s="84">
        <f t="shared" si="18"/>
        <v>45</v>
      </c>
      <c r="AA916" s="59"/>
      <c r="AB916" s="59" t="s">
        <v>78</v>
      </c>
      <c r="AC916" s="59"/>
      <c r="AD916" s="85">
        <v>46043.0</v>
      </c>
      <c r="AE916" s="86">
        <f t="shared" si="19"/>
        <v>1</v>
      </c>
    </row>
    <row r="917" ht="15.75" customHeight="1">
      <c r="A917" s="92" t="s">
        <v>2471</v>
      </c>
      <c r="B917" s="87" t="s">
        <v>184</v>
      </c>
      <c r="C917" s="88" t="s">
        <v>2472</v>
      </c>
      <c r="D917" s="88" t="s">
        <v>1105</v>
      </c>
      <c r="E917" s="88">
        <v>10.0</v>
      </c>
      <c r="F917" s="89">
        <v>210.0</v>
      </c>
      <c r="G917" s="90" t="s">
        <v>53</v>
      </c>
      <c r="H917" s="91">
        <v>46143.0</v>
      </c>
      <c r="I917" s="92" t="s">
        <v>17</v>
      </c>
      <c r="J917" s="92" t="s">
        <v>54</v>
      </c>
      <c r="K917" s="92" t="s">
        <v>66</v>
      </c>
      <c r="L917" s="92" t="s">
        <v>67</v>
      </c>
      <c r="M917" s="90" t="s">
        <v>104</v>
      </c>
      <c r="N917" s="92" t="s">
        <v>20</v>
      </c>
      <c r="O917" s="92" t="s">
        <v>89</v>
      </c>
      <c r="P917" s="87"/>
      <c r="Q917" s="87" t="s">
        <v>800</v>
      </c>
      <c r="R917" s="93" t="s">
        <v>287</v>
      </c>
      <c r="S917" s="87"/>
      <c r="T917" s="87"/>
      <c r="U917" s="94" t="str">
        <f t="array" ref="U917">IFERROR(INDEX(DFD!$D$2:$D$1048791,MATCH($Q917,DFD!$B$2:$B$1048791,0)),"")</f>
        <v/>
      </c>
      <c r="V917" s="94" t="str">
        <f t="array" ref="V917">IFERROR(INDEX(DFD!$F$2:$F$1048791,MATCH($Q917,DFD!$B$2:$B$1048791,0)),"")</f>
        <v/>
      </c>
      <c r="W917" s="97" t="str">
        <f t="array" ref="W917">IFERROR(INDEX(DFD!$E$2:$E$1048791,MATCH($Q917,DFD!$B$2:$B$1048791,0)),"")</f>
        <v/>
      </c>
      <c r="X917" s="97" t="str">
        <f t="array" ref="X917">IFERROR(INDEX(DFD!$K$2:$K$1048791,MATCH($Q917,DFD!$B$2:$B$1048791,0)),"")</f>
        <v/>
      </c>
      <c r="Y917" s="97" t="str">
        <f t="array" ref="Y917">IFERROR(INDEX(DFD!$L$2:$L$1048790,MATCH($Q917,DFD!$B$2:$B$1048790,0)),"")</f>
        <v/>
      </c>
      <c r="Z917" s="97">
        <f t="shared" si="18"/>
        <v>45</v>
      </c>
      <c r="AA917" s="87"/>
      <c r="AB917" s="87" t="s">
        <v>78</v>
      </c>
      <c r="AC917" s="87"/>
      <c r="AD917" s="99">
        <v>46043.0</v>
      </c>
      <c r="AE917" s="100">
        <f t="shared" si="19"/>
        <v>1</v>
      </c>
    </row>
    <row r="918" ht="15.75" customHeight="1">
      <c r="A918" s="67" t="s">
        <v>2473</v>
      </c>
      <c r="B918" s="59" t="s">
        <v>184</v>
      </c>
      <c r="C918" s="60" t="s">
        <v>2474</v>
      </c>
      <c r="D918" s="60" t="s">
        <v>1105</v>
      </c>
      <c r="E918" s="60">
        <v>10.0</v>
      </c>
      <c r="F918" s="72">
        <v>310.0</v>
      </c>
      <c r="G918" s="73" t="s">
        <v>53</v>
      </c>
      <c r="H918" s="74">
        <v>46174.0</v>
      </c>
      <c r="I918" s="67" t="s">
        <v>17</v>
      </c>
      <c r="J918" s="67" t="s">
        <v>54</v>
      </c>
      <c r="K918" s="67" t="s">
        <v>66</v>
      </c>
      <c r="L918" s="67" t="s">
        <v>67</v>
      </c>
      <c r="M918" s="73" t="s">
        <v>104</v>
      </c>
      <c r="N918" s="67" t="s">
        <v>20</v>
      </c>
      <c r="O918" s="59" t="s">
        <v>69</v>
      </c>
      <c r="P918" s="59"/>
      <c r="Q918" s="59" t="s">
        <v>800</v>
      </c>
      <c r="R918" s="76" t="s">
        <v>287</v>
      </c>
      <c r="S918" s="59"/>
      <c r="T918" s="59"/>
      <c r="U918" s="77" t="str">
        <f t="array" ref="U918">IFERROR(INDEX(DFD!$D$2:$D$1048791,MATCH($Q918,DFD!$B$2:$B$1048791,0)),"")</f>
        <v/>
      </c>
      <c r="V918" s="77" t="str">
        <f t="array" ref="V918">IFERROR(INDEX(DFD!$F$2:$F$1048791,MATCH($Q918,DFD!$B$2:$B$1048791,0)),"")</f>
        <v/>
      </c>
      <c r="W918" s="84" t="str">
        <f t="array" ref="W918">IFERROR(INDEX(DFD!$E$2:$E$1048791,MATCH($Q918,DFD!$B$2:$B$1048791,0)),"")</f>
        <v/>
      </c>
      <c r="X918" s="84" t="str">
        <f t="array" ref="X918">IFERROR(INDEX(DFD!$K$2:$K$1048791,MATCH($Q918,DFD!$B$2:$B$1048791,0)),"")</f>
        <v/>
      </c>
      <c r="Y918" s="84" t="str">
        <f t="array" ref="Y918">IFERROR(INDEX(DFD!$L$2:$L$1048790,MATCH($Q918,DFD!$B$2:$B$1048790,0)),"")</f>
        <v/>
      </c>
      <c r="Z918" s="84">
        <f t="shared" si="18"/>
        <v>45</v>
      </c>
      <c r="AA918" s="59"/>
      <c r="AB918" s="59" t="s">
        <v>78</v>
      </c>
      <c r="AC918" s="59"/>
      <c r="AD918" s="85">
        <v>46043.0</v>
      </c>
      <c r="AE918" s="86">
        <f t="shared" si="19"/>
        <v>1</v>
      </c>
    </row>
    <row r="919" ht="15.75" customHeight="1">
      <c r="A919" s="92" t="s">
        <v>2475</v>
      </c>
      <c r="B919" s="87" t="s">
        <v>184</v>
      </c>
      <c r="C919" s="88" t="s">
        <v>2476</v>
      </c>
      <c r="D919" s="88" t="s">
        <v>51</v>
      </c>
      <c r="E919" s="88">
        <v>35.0</v>
      </c>
      <c r="F919" s="89">
        <v>350.0</v>
      </c>
      <c r="G919" s="90" t="s">
        <v>53</v>
      </c>
      <c r="H919" s="91">
        <v>46031.0</v>
      </c>
      <c r="I919" s="92" t="s">
        <v>17</v>
      </c>
      <c r="J919" s="92" t="s">
        <v>54</v>
      </c>
      <c r="K919" s="92" t="s">
        <v>372</v>
      </c>
      <c r="L919" s="92" t="s">
        <v>67</v>
      </c>
      <c r="M919" s="90" t="s">
        <v>104</v>
      </c>
      <c r="N919" s="92" t="s">
        <v>20</v>
      </c>
      <c r="O919" s="87" t="s">
        <v>69</v>
      </c>
      <c r="P919" s="87"/>
      <c r="Q919" s="87" t="s">
        <v>113</v>
      </c>
      <c r="R919" s="93" t="s">
        <v>503</v>
      </c>
      <c r="S919" s="129"/>
      <c r="T919" s="87"/>
      <c r="U919" s="94" t="str">
        <f t="array" ref="U919">IFERROR(INDEX(DFD!$D$2:$D$1048791,MATCH($Q919,DFD!$B$2:$B$1048791,0)),"")</f>
        <v/>
      </c>
      <c r="V919" s="94" t="str">
        <f t="array" ref="V919">IFERROR(INDEX(DFD!$F$2:$F$1048791,MATCH($Q919,DFD!$B$2:$B$1048791,0)),"")</f>
        <v/>
      </c>
      <c r="W919" s="97" t="str">
        <f t="array" ref="W919">IFERROR(INDEX(DFD!$E$2:$E$1048791,MATCH($Q919,DFD!$B$2:$B$1048791,0)),"")</f>
        <v/>
      </c>
      <c r="X919" s="97" t="str">
        <f t="array" ref="X919">IFERROR(INDEX(DFD!$K$2:$K$1048791,MATCH($Q919,DFD!$B$2:$B$1048791,0)),"")</f>
        <v/>
      </c>
      <c r="Y919" s="97" t="str">
        <f t="array" ref="Y919">IFERROR(INDEX(DFD!$L$2:$L$1048790,MATCH($Q919,DFD!$B$2:$B$1048790,0)),"")</f>
        <v/>
      </c>
      <c r="Z919" s="97">
        <f t="shared" si="18"/>
        <v>45</v>
      </c>
      <c r="AA919" s="87" t="s">
        <v>746</v>
      </c>
      <c r="AB919" s="87" t="s">
        <v>78</v>
      </c>
      <c r="AC919" s="87"/>
      <c r="AD919" s="99">
        <v>46043.0</v>
      </c>
      <c r="AE919" s="100">
        <f t="shared" si="19"/>
        <v>1</v>
      </c>
    </row>
    <row r="920" ht="15.75" customHeight="1">
      <c r="A920" s="67" t="s">
        <v>2477</v>
      </c>
      <c r="B920" s="59" t="s">
        <v>464</v>
      </c>
      <c r="C920" s="81" t="s">
        <v>2478</v>
      </c>
      <c r="D920" s="60" t="s">
        <v>51</v>
      </c>
      <c r="E920" s="60">
        <v>1.0</v>
      </c>
      <c r="F920" s="72">
        <v>1252035.12</v>
      </c>
      <c r="G920" s="73" t="s">
        <v>437</v>
      </c>
      <c r="H920" s="74">
        <v>46266.0</v>
      </c>
      <c r="I920" s="67" t="s">
        <v>17</v>
      </c>
      <c r="J920" s="67" t="s">
        <v>54</v>
      </c>
      <c r="K920" s="67" t="s">
        <v>2479</v>
      </c>
      <c r="L920" s="67" t="s">
        <v>56</v>
      </c>
      <c r="M920" s="73" t="s">
        <v>466</v>
      </c>
      <c r="N920" s="67" t="s">
        <v>20</v>
      </c>
      <c r="O920" s="67" t="s">
        <v>89</v>
      </c>
      <c r="P920" s="59"/>
      <c r="Q920" s="59" t="s">
        <v>467</v>
      </c>
      <c r="R920" s="76" t="s">
        <v>2478</v>
      </c>
      <c r="S920" s="59"/>
      <c r="T920" s="59"/>
      <c r="U920" s="77" t="str">
        <f t="array" ref="U920">IFERROR(INDEX(DFD!$D$2:$D$1048791,MATCH($Q920,DFD!$B$2:$B$1048791,0)),"")</f>
        <v/>
      </c>
      <c r="V920" s="77" t="str">
        <f t="array" ref="V920">IFERROR(INDEX(DFD!$F$2:$F$1048791,MATCH($Q920,DFD!$B$2:$B$1048791,0)),"")</f>
        <v/>
      </c>
      <c r="W920" s="84" t="str">
        <f t="array" ref="W920">IFERROR(INDEX(DFD!$E$2:$E$1048791,MATCH($Q920,DFD!$B$2:$B$1048791,0)),"")</f>
        <v/>
      </c>
      <c r="X920" s="84" t="str">
        <f t="array" ref="X920">IFERROR(INDEX(DFD!$K$2:$K$1048791,MATCH($Q920,DFD!$B$2:$B$1048791,0)),"")</f>
        <v/>
      </c>
      <c r="Y920" s="84" t="str">
        <f t="array" ref="Y920">IFERROR(INDEX(DFD!$L$2:$L$1048790,MATCH($Q920,DFD!$B$2:$B$1048790,0)),"")</f>
        <v/>
      </c>
      <c r="Z920" s="84">
        <f t="shared" si="18"/>
        <v>45</v>
      </c>
      <c r="AA920" s="59"/>
      <c r="AB920" s="59" t="s">
        <v>288</v>
      </c>
      <c r="AC920" s="59"/>
      <c r="AD920" s="85">
        <v>46043.0</v>
      </c>
      <c r="AE920" s="86">
        <f t="shared" si="19"/>
        <v>1</v>
      </c>
    </row>
    <row r="921" ht="15.75" customHeight="1">
      <c r="A921" s="87" t="s">
        <v>2480</v>
      </c>
      <c r="B921" s="87" t="s">
        <v>464</v>
      </c>
      <c r="C921" s="116" t="s">
        <v>2481</v>
      </c>
      <c r="D921" s="88" t="s">
        <v>51</v>
      </c>
      <c r="E921" s="88">
        <v>1.0</v>
      </c>
      <c r="F921" s="89">
        <v>400000.0</v>
      </c>
      <c r="G921" s="90" t="s">
        <v>437</v>
      </c>
      <c r="H921" s="91">
        <v>46266.0</v>
      </c>
      <c r="I921" s="92" t="s">
        <v>17</v>
      </c>
      <c r="J921" s="92" t="s">
        <v>54</v>
      </c>
      <c r="K921" s="92" t="s">
        <v>2479</v>
      </c>
      <c r="L921" s="92" t="s">
        <v>67</v>
      </c>
      <c r="M921" s="90" t="s">
        <v>2482</v>
      </c>
      <c r="N921" s="92" t="s">
        <v>5</v>
      </c>
      <c r="O921" s="87" t="s">
        <v>69</v>
      </c>
      <c r="P921" s="87"/>
      <c r="Q921" s="87" t="s">
        <v>467</v>
      </c>
      <c r="R921" s="93" t="s">
        <v>2481</v>
      </c>
      <c r="S921" s="87"/>
      <c r="T921" s="87"/>
      <c r="U921" s="94" t="str">
        <f t="array" ref="U921">IFERROR(INDEX(DFD!$D$2:$D$1048791,MATCH($Q921,DFD!$B$2:$B$1048791,0)),"")</f>
        <v/>
      </c>
      <c r="V921" s="94" t="str">
        <f t="array" ref="V921">IFERROR(INDEX(DFD!$F$2:$F$1048791,MATCH($Q921,DFD!$B$2:$B$1048791,0)),"")</f>
        <v/>
      </c>
      <c r="W921" s="97" t="str">
        <f t="array" ref="W921">IFERROR(INDEX(DFD!$E$2:$E$1048791,MATCH($Q921,DFD!$B$2:$B$1048791,0)),"")</f>
        <v/>
      </c>
      <c r="X921" s="97" t="str">
        <f t="array" ref="X921">IFERROR(INDEX(DFD!$K$2:$K$1048791,MATCH($Q921,DFD!$B$2:$B$1048791,0)),"")</f>
        <v/>
      </c>
      <c r="Y921" s="97" t="str">
        <f t="array" ref="Y921">IFERROR(INDEX(DFD!$L$2:$L$1048790,MATCH($Q921,DFD!$B$2:$B$1048790,0)),"")</f>
        <v/>
      </c>
      <c r="Z921" s="97">
        <f t="shared" si="18"/>
        <v>45</v>
      </c>
      <c r="AA921" s="87"/>
      <c r="AB921" s="87" t="s">
        <v>288</v>
      </c>
      <c r="AC921" s="87"/>
      <c r="AD921" s="99">
        <v>46043.0</v>
      </c>
      <c r="AE921" s="100">
        <f t="shared" si="19"/>
        <v>1</v>
      </c>
    </row>
    <row r="922" ht="15.75" customHeight="1">
      <c r="A922" s="67" t="s">
        <v>2483</v>
      </c>
      <c r="B922" s="59" t="s">
        <v>184</v>
      </c>
      <c r="C922" s="60" t="s">
        <v>2484</v>
      </c>
      <c r="D922" s="60" t="s">
        <v>51</v>
      </c>
      <c r="E922" s="60">
        <v>100.0</v>
      </c>
      <c r="F922" s="72">
        <v>300.0</v>
      </c>
      <c r="G922" s="73" t="s">
        <v>53</v>
      </c>
      <c r="H922" s="74">
        <v>46174.0</v>
      </c>
      <c r="I922" s="67" t="s">
        <v>17</v>
      </c>
      <c r="J922" s="67" t="s">
        <v>54</v>
      </c>
      <c r="K922" s="67" t="s">
        <v>66</v>
      </c>
      <c r="L922" s="67" t="s">
        <v>67</v>
      </c>
      <c r="M922" s="73" t="s">
        <v>68</v>
      </c>
      <c r="N922" s="67" t="s">
        <v>20</v>
      </c>
      <c r="O922" s="59" t="s">
        <v>69</v>
      </c>
      <c r="P922" s="59"/>
      <c r="Q922" s="59" t="s">
        <v>113</v>
      </c>
      <c r="R922" s="76" t="s">
        <v>71</v>
      </c>
      <c r="S922" s="59"/>
      <c r="T922" s="59"/>
      <c r="U922" s="77" t="str">
        <f t="array" ref="U922">IFERROR(INDEX(DFD!$D$2:$D$1048791,MATCH($Q922,DFD!$B$2:$B$1048791,0)),"")</f>
        <v/>
      </c>
      <c r="V922" s="77" t="str">
        <f t="array" ref="V922">IFERROR(INDEX(DFD!$F$2:$F$1048791,MATCH($Q922,DFD!$B$2:$B$1048791,0)),"")</f>
        <v/>
      </c>
      <c r="W922" s="84" t="str">
        <f t="array" ref="W922">IFERROR(INDEX(DFD!$E$2:$E$1048791,MATCH($Q922,DFD!$B$2:$B$1048791,0)),"")</f>
        <v/>
      </c>
      <c r="X922" s="84" t="str">
        <f t="array" ref="X922">IFERROR(INDEX(DFD!$K$2:$K$1048791,MATCH($Q922,DFD!$B$2:$B$1048791,0)),"")</f>
        <v/>
      </c>
      <c r="Y922" s="84" t="str">
        <f t="array" ref="Y922">IFERROR(INDEX(DFD!$L$2:$L$1048790,MATCH($Q922,DFD!$B$2:$B$1048790,0)),"")</f>
        <v/>
      </c>
      <c r="Z922" s="84">
        <f t="shared" si="18"/>
        <v>45</v>
      </c>
      <c r="AA922" s="59"/>
      <c r="AB922" s="59" t="s">
        <v>78</v>
      </c>
      <c r="AC922" s="59"/>
      <c r="AD922" s="85">
        <v>46043.0</v>
      </c>
      <c r="AE922" s="86">
        <f t="shared" si="19"/>
        <v>1</v>
      </c>
    </row>
    <row r="923" ht="15.75" customHeight="1">
      <c r="A923" s="87" t="s">
        <v>2485</v>
      </c>
      <c r="B923" s="87" t="s">
        <v>101</v>
      </c>
      <c r="C923" s="88" t="s">
        <v>2486</v>
      </c>
      <c r="D923" s="88" t="s">
        <v>51</v>
      </c>
      <c r="E923" s="88">
        <v>40.0</v>
      </c>
      <c r="F923" s="89">
        <f>40*35</f>
        <v>1400</v>
      </c>
      <c r="G923" s="90" t="s">
        <v>53</v>
      </c>
      <c r="H923" s="91">
        <v>46204.0</v>
      </c>
      <c r="I923" s="92" t="s">
        <v>17</v>
      </c>
      <c r="J923" s="92" t="s">
        <v>54</v>
      </c>
      <c r="K923" s="92" t="s">
        <v>66</v>
      </c>
      <c r="L923" s="92" t="s">
        <v>56</v>
      </c>
      <c r="M923" s="90" t="s">
        <v>167</v>
      </c>
      <c r="N923" s="92" t="s">
        <v>58</v>
      </c>
      <c r="O923" s="92" t="s">
        <v>89</v>
      </c>
      <c r="P923" s="87"/>
      <c r="Q923" s="87" t="s">
        <v>113</v>
      </c>
      <c r="R923" s="93" t="s">
        <v>71</v>
      </c>
      <c r="S923" s="87"/>
      <c r="T923" s="87"/>
      <c r="U923" s="94" t="str">
        <f t="array" ref="U923">IFERROR(INDEX(DFD!$D$2:$D$1048791,MATCH($Q923,DFD!$B$2:$B$1048791,0)),"")</f>
        <v/>
      </c>
      <c r="V923" s="94" t="str">
        <f t="array" ref="V923">IFERROR(INDEX(DFD!$F$2:$F$1048791,MATCH($Q923,DFD!$B$2:$B$1048791,0)),"")</f>
        <v/>
      </c>
      <c r="W923" s="97" t="str">
        <f t="array" ref="W923">IFERROR(INDEX(DFD!$E$2:$E$1048791,MATCH($Q923,DFD!$B$2:$B$1048791,0)),"")</f>
        <v/>
      </c>
      <c r="X923" s="97" t="str">
        <f t="array" ref="X923">IFERROR(INDEX(DFD!$K$2:$K$1048791,MATCH($Q923,DFD!$B$2:$B$1048791,0)),"")</f>
        <v/>
      </c>
      <c r="Y923" s="97" t="str">
        <f t="array" ref="Y923">IFERROR(INDEX(DFD!$L$2:$L$1048790,MATCH($Q923,DFD!$B$2:$B$1048790,0)),"")</f>
        <v/>
      </c>
      <c r="Z923" s="97">
        <f t="shared" si="18"/>
        <v>45</v>
      </c>
      <c r="AA923" s="87"/>
      <c r="AB923" s="87" t="s">
        <v>78</v>
      </c>
      <c r="AC923" s="87"/>
      <c r="AD923" s="99">
        <v>46043.0</v>
      </c>
      <c r="AE923" s="100">
        <f t="shared" si="19"/>
        <v>1</v>
      </c>
    </row>
    <row r="924" ht="15.75" customHeight="1">
      <c r="A924" s="67" t="s">
        <v>2487</v>
      </c>
      <c r="B924" s="59" t="s">
        <v>184</v>
      </c>
      <c r="C924" s="60" t="s">
        <v>2488</v>
      </c>
      <c r="D924" s="60" t="s">
        <v>51</v>
      </c>
      <c r="E924" s="60">
        <v>160.0</v>
      </c>
      <c r="F924" s="72">
        <f>160*35</f>
        <v>5600</v>
      </c>
      <c r="G924" s="73" t="s">
        <v>53</v>
      </c>
      <c r="H924" s="74">
        <v>46031.0</v>
      </c>
      <c r="I924" s="67" t="s">
        <v>17</v>
      </c>
      <c r="J924" s="67" t="s">
        <v>54</v>
      </c>
      <c r="K924" s="67" t="s">
        <v>372</v>
      </c>
      <c r="L924" s="67" t="s">
        <v>67</v>
      </c>
      <c r="M924" s="73" t="s">
        <v>117</v>
      </c>
      <c r="N924" s="67" t="s">
        <v>20</v>
      </c>
      <c r="O924" s="59" t="s">
        <v>69</v>
      </c>
      <c r="P924" s="59"/>
      <c r="Q924" s="59" t="s">
        <v>113</v>
      </c>
      <c r="R924" s="76" t="s">
        <v>71</v>
      </c>
      <c r="S924" s="120"/>
      <c r="T924" s="59"/>
      <c r="U924" s="77" t="str">
        <f t="array" ref="U924">IFERROR(INDEX(DFD!$D$2:$D$1048791,MATCH($Q924,DFD!$B$2:$B$1048791,0)),"")</f>
        <v/>
      </c>
      <c r="V924" s="77" t="str">
        <f t="array" ref="V924">IFERROR(INDEX(DFD!$F$2:$F$1048791,MATCH($Q924,DFD!$B$2:$B$1048791,0)),"")</f>
        <v/>
      </c>
      <c r="W924" s="84" t="str">
        <f t="array" ref="W924">IFERROR(INDEX(DFD!$E$2:$E$1048791,MATCH($Q924,DFD!$B$2:$B$1048791,0)),"")</f>
        <v/>
      </c>
      <c r="X924" s="84" t="str">
        <f t="array" ref="X924">IFERROR(INDEX(DFD!$K$2:$K$1048791,MATCH($Q924,DFD!$B$2:$B$1048791,0)),"")</f>
        <v/>
      </c>
      <c r="Y924" s="84" t="str">
        <f t="array" ref="Y924">IFERROR(INDEX(DFD!$L$2:$L$1048790,MATCH($Q924,DFD!$B$2:$B$1048790,0)),"")</f>
        <v/>
      </c>
      <c r="Z924" s="84">
        <f t="shared" si="18"/>
        <v>45</v>
      </c>
      <c r="AA924" s="59" t="s">
        <v>746</v>
      </c>
      <c r="AB924" s="59" t="s">
        <v>78</v>
      </c>
      <c r="AC924" s="59"/>
      <c r="AD924" s="85">
        <v>46043.0</v>
      </c>
      <c r="AE924" s="86">
        <f t="shared" si="19"/>
        <v>1</v>
      </c>
    </row>
    <row r="925" ht="15.75" customHeight="1">
      <c r="A925" s="87" t="s">
        <v>2489</v>
      </c>
      <c r="B925" s="87" t="s">
        <v>92</v>
      </c>
      <c r="C925" s="88" t="s">
        <v>2490</v>
      </c>
      <c r="D925" s="88" t="s">
        <v>51</v>
      </c>
      <c r="E925" s="88">
        <v>7.0</v>
      </c>
      <c r="F925" s="89">
        <f t="shared" ref="F925:F926" si="20">E925*35</f>
        <v>245</v>
      </c>
      <c r="G925" s="90" t="s">
        <v>53</v>
      </c>
      <c r="H925" s="91">
        <v>46143.0</v>
      </c>
      <c r="I925" s="92" t="s">
        <v>17</v>
      </c>
      <c r="J925" s="92" t="s">
        <v>54</v>
      </c>
      <c r="K925" s="92" t="s">
        <v>66</v>
      </c>
      <c r="L925" s="92" t="s">
        <v>67</v>
      </c>
      <c r="M925" s="90" t="s">
        <v>117</v>
      </c>
      <c r="N925" s="92" t="s">
        <v>5</v>
      </c>
      <c r="O925" s="87" t="s">
        <v>69</v>
      </c>
      <c r="P925" s="87"/>
      <c r="Q925" s="87" t="s">
        <v>113</v>
      </c>
      <c r="R925" s="93" t="s">
        <v>71</v>
      </c>
      <c r="S925" s="87"/>
      <c r="T925" s="87"/>
      <c r="U925" s="94" t="str">
        <f t="array" ref="U925">IFERROR(INDEX(DFD!$D$2:$D$1048791,MATCH($Q925,DFD!$B$2:$B$1048791,0)),"")</f>
        <v/>
      </c>
      <c r="V925" s="94" t="str">
        <f t="array" ref="V925">IFERROR(INDEX(DFD!$F$2:$F$1048791,MATCH($Q925,DFD!$B$2:$B$1048791,0)),"")</f>
        <v/>
      </c>
      <c r="W925" s="97" t="str">
        <f t="array" ref="W925">IFERROR(INDEX(DFD!$E$2:$E$1048791,MATCH($Q925,DFD!$B$2:$B$1048791,0)),"")</f>
        <v/>
      </c>
      <c r="X925" s="97" t="str">
        <f t="array" ref="X925">IFERROR(INDEX(DFD!$K$2:$K$1048791,MATCH($Q925,DFD!$B$2:$B$1048791,0)),"")</f>
        <v/>
      </c>
      <c r="Y925" s="97" t="str">
        <f t="array" ref="Y925">IFERROR(INDEX(DFD!$L$2:$L$1048790,MATCH($Q925,DFD!$B$2:$B$1048790,0)),"")</f>
        <v/>
      </c>
      <c r="Z925" s="97">
        <f t="shared" si="18"/>
        <v>45</v>
      </c>
      <c r="AA925" s="87"/>
      <c r="AB925" s="87" t="s">
        <v>78</v>
      </c>
      <c r="AC925" s="87"/>
      <c r="AD925" s="99">
        <v>46043.0</v>
      </c>
      <c r="AE925" s="100">
        <f t="shared" si="19"/>
        <v>1</v>
      </c>
    </row>
    <row r="926" ht="15.75" customHeight="1">
      <c r="A926" s="59" t="s">
        <v>2491</v>
      </c>
      <c r="B926" s="59" t="s">
        <v>98</v>
      </c>
      <c r="C926" s="60" t="s">
        <v>2490</v>
      </c>
      <c r="D926" s="60" t="s">
        <v>51</v>
      </c>
      <c r="E926" s="60">
        <v>7.0</v>
      </c>
      <c r="F926" s="72">
        <f t="shared" si="20"/>
        <v>245</v>
      </c>
      <c r="G926" s="73" t="s">
        <v>53</v>
      </c>
      <c r="H926" s="74">
        <v>46143.0</v>
      </c>
      <c r="I926" s="67" t="s">
        <v>17</v>
      </c>
      <c r="J926" s="67" t="s">
        <v>54</v>
      </c>
      <c r="K926" s="67" t="s">
        <v>66</v>
      </c>
      <c r="L926" s="67" t="s">
        <v>67</v>
      </c>
      <c r="M926" s="73" t="s">
        <v>117</v>
      </c>
      <c r="N926" s="67" t="s">
        <v>5</v>
      </c>
      <c r="O926" s="67" t="s">
        <v>89</v>
      </c>
      <c r="P926" s="59"/>
      <c r="Q926" s="59" t="s">
        <v>113</v>
      </c>
      <c r="R926" s="76" t="s">
        <v>71</v>
      </c>
      <c r="S926" s="59"/>
      <c r="T926" s="59"/>
      <c r="U926" s="77" t="str">
        <f t="array" ref="U926">IFERROR(INDEX(DFD!$D$2:$D$1048791,MATCH($Q926,DFD!$B$2:$B$1048791,0)),"")</f>
        <v/>
      </c>
      <c r="V926" s="77" t="str">
        <f t="array" ref="V926">IFERROR(INDEX(DFD!$F$2:$F$1048791,MATCH($Q926,DFD!$B$2:$B$1048791,0)),"")</f>
        <v/>
      </c>
      <c r="W926" s="84" t="str">
        <f t="array" ref="W926">IFERROR(INDEX(DFD!$E$2:$E$1048791,MATCH($Q926,DFD!$B$2:$B$1048791,0)),"")</f>
        <v/>
      </c>
      <c r="X926" s="84" t="str">
        <f t="array" ref="X926">IFERROR(INDEX(DFD!$K$2:$K$1048791,MATCH($Q926,DFD!$B$2:$B$1048791,0)),"")</f>
        <v/>
      </c>
      <c r="Y926" s="84" t="str">
        <f t="array" ref="Y926">IFERROR(INDEX(DFD!$L$2:$L$1048790,MATCH($Q926,DFD!$B$2:$B$1048790,0)),"")</f>
        <v/>
      </c>
      <c r="Z926" s="84">
        <f t="shared" si="18"/>
        <v>45</v>
      </c>
      <c r="AA926" s="59"/>
      <c r="AB926" s="59" t="s">
        <v>78</v>
      </c>
      <c r="AC926" s="59"/>
      <c r="AD926" s="85">
        <v>46043.0</v>
      </c>
      <c r="AE926" s="86">
        <f t="shared" si="19"/>
        <v>1</v>
      </c>
    </row>
    <row r="927" ht="15.75" customHeight="1">
      <c r="A927" s="87" t="s">
        <v>2492</v>
      </c>
      <c r="B927" s="87" t="s">
        <v>101</v>
      </c>
      <c r="C927" s="88" t="s">
        <v>2493</v>
      </c>
      <c r="D927" s="88" t="s">
        <v>51</v>
      </c>
      <c r="E927" s="88">
        <v>50.0</v>
      </c>
      <c r="F927" s="89">
        <v>4250.0</v>
      </c>
      <c r="G927" s="90" t="s">
        <v>53</v>
      </c>
      <c r="H927" s="91">
        <v>46204.0</v>
      </c>
      <c r="I927" s="92" t="s">
        <v>17</v>
      </c>
      <c r="J927" s="92" t="s">
        <v>54</v>
      </c>
      <c r="K927" s="92" t="s">
        <v>66</v>
      </c>
      <c r="L927" s="92" t="s">
        <v>56</v>
      </c>
      <c r="M927" s="90" t="s">
        <v>112</v>
      </c>
      <c r="N927" s="92" t="s">
        <v>58</v>
      </c>
      <c r="O927" s="87" t="s">
        <v>69</v>
      </c>
      <c r="P927" s="87"/>
      <c r="Q927" s="87" t="s">
        <v>756</v>
      </c>
      <c r="R927" s="93" t="s">
        <v>71</v>
      </c>
      <c r="S927" s="87"/>
      <c r="T927" s="87"/>
      <c r="U927" s="94" t="s">
        <v>668</v>
      </c>
      <c r="V927" s="94" t="str">
        <f t="array" ref="V927">IFERROR(INDEX(DFD!$F$2:$F$1048791,MATCH($Q927,DFD!$B$2:$B$1048791,0)),"")</f>
        <v/>
      </c>
      <c r="W927" s="97" t="str">
        <f t="array" ref="W927">IFERROR(INDEX(DFD!$E$2:$E$1048791,MATCH($Q927,DFD!$B$2:$B$1048791,0)),"")</f>
        <v/>
      </c>
      <c r="X927" s="97" t="str">
        <f t="array" ref="X927">IFERROR(INDEX(DFD!$K$2:$K$1048791,MATCH($Q927,DFD!$B$2:$B$1048791,0)),"")</f>
        <v/>
      </c>
      <c r="Y927" s="97" t="str">
        <f t="array" ref="Y927">IFERROR(INDEX(DFD!$L$2:$L$1048790,MATCH($Q927,DFD!$B$2:$B$1048790,0)),"")</f>
        <v/>
      </c>
      <c r="Z927" s="97">
        <f t="shared" si="18"/>
        <v>45</v>
      </c>
      <c r="AA927" s="87"/>
      <c r="AB927" s="87" t="s">
        <v>78</v>
      </c>
      <c r="AC927" s="87"/>
      <c r="AD927" s="99">
        <v>46043.0</v>
      </c>
      <c r="AE927" s="100">
        <f t="shared" si="19"/>
        <v>1</v>
      </c>
    </row>
    <row r="928" ht="15.75" customHeight="1">
      <c r="A928" s="67" t="s">
        <v>2494</v>
      </c>
      <c r="B928" s="59" t="s">
        <v>184</v>
      </c>
      <c r="C928" s="60" t="s">
        <v>2495</v>
      </c>
      <c r="D928" s="60" t="s">
        <v>51</v>
      </c>
      <c r="E928" s="60">
        <v>100.0</v>
      </c>
      <c r="F928" s="72">
        <v>10000.0</v>
      </c>
      <c r="G928" s="73" t="s">
        <v>53</v>
      </c>
      <c r="H928" s="74">
        <v>46235.0</v>
      </c>
      <c r="I928" s="67" t="s">
        <v>17</v>
      </c>
      <c r="J928" s="67" t="s">
        <v>54</v>
      </c>
      <c r="K928" s="67" t="s">
        <v>66</v>
      </c>
      <c r="L928" s="67" t="s">
        <v>67</v>
      </c>
      <c r="M928" s="73" t="s">
        <v>68</v>
      </c>
      <c r="N928" s="67" t="s">
        <v>20</v>
      </c>
      <c r="O928" s="59" t="s">
        <v>69</v>
      </c>
      <c r="P928" s="59"/>
      <c r="Q928" s="59" t="s">
        <v>2496</v>
      </c>
      <c r="R928" s="76" t="s">
        <v>71</v>
      </c>
      <c r="S928" s="59"/>
      <c r="T928" s="59"/>
      <c r="U928" s="77" t="str">
        <f t="array" ref="U928">IFERROR(INDEX(DFD!$D$2:$D$1048791,MATCH($Q928,DFD!$B$2:$B$1048791,0)),"")</f>
        <v/>
      </c>
      <c r="V928" s="77" t="str">
        <f t="array" ref="V928">IFERROR(INDEX(DFD!$F$2:$F$1048791,MATCH($Q928,DFD!$B$2:$B$1048791,0)),"")</f>
        <v/>
      </c>
      <c r="W928" s="84" t="str">
        <f t="array" ref="W928">IFERROR(INDEX(DFD!$E$2:$E$1048791,MATCH($Q928,DFD!$B$2:$B$1048791,0)),"")</f>
        <v/>
      </c>
      <c r="X928" s="84" t="str">
        <f t="array" ref="X928">IFERROR(INDEX(DFD!$K$2:$K$1048791,MATCH($Q928,DFD!$B$2:$B$1048791,0)),"")</f>
        <v/>
      </c>
      <c r="Y928" s="84" t="str">
        <f t="array" ref="Y928">IFERROR(INDEX(DFD!$L$2:$L$1048790,MATCH($Q928,DFD!$B$2:$B$1048790,0)),"")</f>
        <v/>
      </c>
      <c r="Z928" s="84">
        <f t="shared" si="18"/>
        <v>45</v>
      </c>
      <c r="AA928" s="59"/>
      <c r="AB928" s="59" t="s">
        <v>78</v>
      </c>
      <c r="AC928" s="59"/>
      <c r="AD928" s="85">
        <v>46043.0</v>
      </c>
      <c r="AE928" s="86">
        <f t="shared" si="19"/>
        <v>1</v>
      </c>
    </row>
    <row r="929" ht="15.75" customHeight="1">
      <c r="A929" s="92" t="s">
        <v>2497</v>
      </c>
      <c r="B929" s="87" t="s">
        <v>148</v>
      </c>
      <c r="C929" s="88" t="s">
        <v>2498</v>
      </c>
      <c r="D929" s="88" t="s">
        <v>51</v>
      </c>
      <c r="E929" s="88">
        <v>1.0</v>
      </c>
      <c r="F929" s="89">
        <v>50000.0</v>
      </c>
      <c r="G929" s="90" t="s">
        <v>53</v>
      </c>
      <c r="H929" s="91">
        <v>46266.0</v>
      </c>
      <c r="I929" s="92" t="s">
        <v>17</v>
      </c>
      <c r="J929" s="92" t="s">
        <v>54</v>
      </c>
      <c r="K929" s="92" t="s">
        <v>55</v>
      </c>
      <c r="L929" s="92" t="s">
        <v>56</v>
      </c>
      <c r="M929" s="90" t="s">
        <v>112</v>
      </c>
      <c r="N929" s="92" t="s">
        <v>20</v>
      </c>
      <c r="O929" s="92" t="s">
        <v>89</v>
      </c>
      <c r="P929" s="87"/>
      <c r="Q929" s="87" t="s">
        <v>2499</v>
      </c>
      <c r="R929" s="93" t="s">
        <v>647</v>
      </c>
      <c r="S929" s="139"/>
      <c r="T929" s="87"/>
      <c r="U929" s="94" t="s">
        <v>2500</v>
      </c>
      <c r="V929" s="94" t="s">
        <v>2501</v>
      </c>
      <c r="W929" s="97">
        <v>46031.0</v>
      </c>
      <c r="X929" s="94" t="s">
        <v>1816</v>
      </c>
      <c r="Y929" s="97">
        <v>46062.0</v>
      </c>
      <c r="Z929" s="97">
        <f t="shared" si="18"/>
        <v>46107</v>
      </c>
      <c r="AA929" s="87"/>
      <c r="AB929" s="87" t="s">
        <v>78</v>
      </c>
      <c r="AC929" s="87"/>
      <c r="AD929" s="99">
        <v>46043.0</v>
      </c>
      <c r="AE929" s="100">
        <f t="shared" si="19"/>
        <v>1</v>
      </c>
    </row>
    <row r="930" ht="15.75" customHeight="1">
      <c r="A930" s="67" t="s">
        <v>2502</v>
      </c>
      <c r="B930" s="71" t="s">
        <v>464</v>
      </c>
      <c r="C930" s="60" t="s">
        <v>2503</v>
      </c>
      <c r="D930" s="60" t="s">
        <v>51</v>
      </c>
      <c r="E930" s="60">
        <v>1.0</v>
      </c>
      <c r="F930" s="72">
        <v>9000.0</v>
      </c>
      <c r="G930" s="73" t="s">
        <v>53</v>
      </c>
      <c r="H930" s="74">
        <v>46204.0</v>
      </c>
      <c r="I930" s="67" t="s">
        <v>17</v>
      </c>
      <c r="J930" s="67" t="s">
        <v>54</v>
      </c>
      <c r="K930" s="67" t="s">
        <v>55</v>
      </c>
      <c r="L930" s="67" t="s">
        <v>67</v>
      </c>
      <c r="M930" s="73" t="s">
        <v>132</v>
      </c>
      <c r="N930" s="67" t="s">
        <v>20</v>
      </c>
      <c r="O930" s="59" t="s">
        <v>69</v>
      </c>
      <c r="P930" s="59"/>
      <c r="Q930" s="59" t="s">
        <v>2504</v>
      </c>
      <c r="R930" s="76" t="s">
        <v>1486</v>
      </c>
      <c r="S930" s="59"/>
      <c r="T930" s="59"/>
      <c r="U930" s="77" t="s">
        <v>2505</v>
      </c>
      <c r="V930" s="77" t="str">
        <f t="array" ref="V930">IFERROR(INDEX(DFD!$F$2:$F$1048791,MATCH($Q930,DFD!$B$2:$B$1048791,0)),"")</f>
        <v/>
      </c>
      <c r="W930" s="84" t="str">
        <f t="array" ref="W930">IFERROR(INDEX(DFD!$E$2:$E$1048791,MATCH($Q930,DFD!$B$2:$B$1048791,0)),"")</f>
        <v/>
      </c>
      <c r="X930" s="84" t="str">
        <f t="array" ref="X930">IFERROR(INDEX(DFD!$K$2:$K$1048791,MATCH($Q930,DFD!$B$2:$B$1048791,0)),"")</f>
        <v/>
      </c>
      <c r="Y930" s="84" t="str">
        <f t="array" ref="Y930">IFERROR(INDEX(DFD!$L$2:$L$1048790,MATCH($Q930,DFD!$B$2:$B$1048790,0)),"")</f>
        <v/>
      </c>
      <c r="Z930" s="84">
        <f t="shared" si="18"/>
        <v>45</v>
      </c>
      <c r="AA930" s="59"/>
      <c r="AB930" s="59" t="s">
        <v>288</v>
      </c>
      <c r="AC930" s="59"/>
      <c r="AD930" s="85">
        <v>46043.0</v>
      </c>
      <c r="AE930" s="86">
        <f t="shared" si="19"/>
        <v>1</v>
      </c>
    </row>
    <row r="931" ht="15.75" customHeight="1">
      <c r="A931" s="87" t="s">
        <v>2506</v>
      </c>
      <c r="B931" s="87" t="s">
        <v>101</v>
      </c>
      <c r="C931" s="88" t="s">
        <v>2507</v>
      </c>
      <c r="D931" s="88" t="s">
        <v>51</v>
      </c>
      <c r="E931" s="88">
        <v>4.0</v>
      </c>
      <c r="F931" s="89">
        <v>800.0</v>
      </c>
      <c r="G931" s="90" t="s">
        <v>53</v>
      </c>
      <c r="H931" s="91">
        <v>46174.0</v>
      </c>
      <c r="I931" s="92" t="s">
        <v>17</v>
      </c>
      <c r="J931" s="92" t="s">
        <v>54</v>
      </c>
      <c r="K931" s="92" t="s">
        <v>66</v>
      </c>
      <c r="L931" s="92" t="s">
        <v>56</v>
      </c>
      <c r="M931" s="90" t="s">
        <v>167</v>
      </c>
      <c r="N931" s="92" t="s">
        <v>58</v>
      </c>
      <c r="O931" s="87" t="s">
        <v>69</v>
      </c>
      <c r="P931" s="87"/>
      <c r="Q931" s="87" t="s">
        <v>1511</v>
      </c>
      <c r="R931" s="93" t="s">
        <v>71</v>
      </c>
      <c r="S931" s="87"/>
      <c r="T931" s="87"/>
      <c r="U931" s="94" t="str">
        <f t="array" ref="U931">IFERROR(INDEX(DFD!$D$2:$D$1048791,MATCH($Q931,DFD!$B$2:$B$1048791,0)),"")</f>
        <v/>
      </c>
      <c r="V931" s="94" t="str">
        <f t="array" ref="V931">IFERROR(INDEX(DFD!$F$2:$F$1048791,MATCH($Q931,DFD!$B$2:$B$1048791,0)),"")</f>
        <v/>
      </c>
      <c r="W931" s="97" t="str">
        <f t="array" ref="W931">IFERROR(INDEX(DFD!$E$2:$E$1048791,MATCH($Q931,DFD!$B$2:$B$1048791,0)),"")</f>
        <v/>
      </c>
      <c r="X931" s="97" t="str">
        <f t="array" ref="X931">IFERROR(INDEX(DFD!$K$2:$K$1048791,MATCH($Q931,DFD!$B$2:$B$1048791,0)),"")</f>
        <v/>
      </c>
      <c r="Y931" s="97" t="str">
        <f t="array" ref="Y931">IFERROR(INDEX(DFD!$L$2:$L$1048790,MATCH($Q931,DFD!$B$2:$B$1048790,0)),"")</f>
        <v/>
      </c>
      <c r="Z931" s="97">
        <f t="shared" si="18"/>
        <v>45</v>
      </c>
      <c r="AA931" s="87"/>
      <c r="AB931" s="87" t="s">
        <v>78</v>
      </c>
      <c r="AC931" s="87"/>
      <c r="AD931" s="99">
        <v>46043.0</v>
      </c>
      <c r="AE931" s="100">
        <f t="shared" si="19"/>
        <v>1</v>
      </c>
    </row>
    <row r="932" ht="15.75" customHeight="1">
      <c r="A932" s="59" t="s">
        <v>2508</v>
      </c>
      <c r="B932" s="59" t="s">
        <v>95</v>
      </c>
      <c r="C932" s="60" t="s">
        <v>2507</v>
      </c>
      <c r="D932" s="60" t="s">
        <v>51</v>
      </c>
      <c r="E932" s="60">
        <v>4.0</v>
      </c>
      <c r="F932" s="72">
        <v>800.0</v>
      </c>
      <c r="G932" s="73" t="s">
        <v>53</v>
      </c>
      <c r="H932" s="74">
        <v>46174.0</v>
      </c>
      <c r="I932" s="67" t="s">
        <v>17</v>
      </c>
      <c r="J932" s="67" t="s">
        <v>54</v>
      </c>
      <c r="K932" s="67" t="s">
        <v>66</v>
      </c>
      <c r="L932" s="67" t="s">
        <v>67</v>
      </c>
      <c r="M932" s="73" t="s">
        <v>68</v>
      </c>
      <c r="N932" s="67" t="s">
        <v>5</v>
      </c>
      <c r="O932" s="67" t="s">
        <v>89</v>
      </c>
      <c r="P932" s="59"/>
      <c r="Q932" s="59" t="s">
        <v>1511</v>
      </c>
      <c r="R932" s="76" t="s">
        <v>71</v>
      </c>
      <c r="S932" s="59"/>
      <c r="T932" s="59"/>
      <c r="U932" s="77" t="str">
        <f t="array" ref="U932">IFERROR(INDEX(DFD!$D$2:$D$1048791,MATCH($Q932,DFD!$B$2:$B$1048791,0)),"")</f>
        <v/>
      </c>
      <c r="V932" s="77" t="str">
        <f t="array" ref="V932">IFERROR(INDEX(DFD!$F$2:$F$1048791,MATCH($Q932,DFD!$B$2:$B$1048791,0)),"")</f>
        <v/>
      </c>
      <c r="W932" s="84" t="str">
        <f t="array" ref="W932">IFERROR(INDEX(DFD!$E$2:$E$1048791,MATCH($Q932,DFD!$B$2:$B$1048791,0)),"")</f>
        <v/>
      </c>
      <c r="X932" s="84" t="str">
        <f t="array" ref="X932">IFERROR(INDEX(DFD!$K$2:$K$1048791,MATCH($Q932,DFD!$B$2:$B$1048791,0)),"")</f>
        <v/>
      </c>
      <c r="Y932" s="84" t="str">
        <f t="array" ref="Y932">IFERROR(INDEX(DFD!$L$2:$L$1048790,MATCH($Q932,DFD!$B$2:$B$1048790,0)),"")</f>
        <v/>
      </c>
      <c r="Z932" s="84">
        <f t="shared" si="18"/>
        <v>45</v>
      </c>
      <c r="AA932" s="59"/>
      <c r="AB932" s="59" t="s">
        <v>78</v>
      </c>
      <c r="AC932" s="59"/>
      <c r="AD932" s="85">
        <v>46043.0</v>
      </c>
      <c r="AE932" s="86">
        <f t="shared" si="19"/>
        <v>1</v>
      </c>
    </row>
    <row r="933" ht="15.75" customHeight="1">
      <c r="A933" s="87" t="s">
        <v>2509</v>
      </c>
      <c r="B933" s="87" t="s">
        <v>87</v>
      </c>
      <c r="C933" s="88" t="s">
        <v>2507</v>
      </c>
      <c r="D933" s="88" t="s">
        <v>51</v>
      </c>
      <c r="E933" s="88">
        <v>4.0</v>
      </c>
      <c r="F933" s="89">
        <v>800.0</v>
      </c>
      <c r="G933" s="90" t="s">
        <v>53</v>
      </c>
      <c r="H933" s="91">
        <v>46174.0</v>
      </c>
      <c r="I933" s="92" t="s">
        <v>17</v>
      </c>
      <c r="J933" s="92" t="s">
        <v>54</v>
      </c>
      <c r="K933" s="92" t="s">
        <v>66</v>
      </c>
      <c r="L933" s="92" t="s">
        <v>67</v>
      </c>
      <c r="M933" s="90" t="s">
        <v>68</v>
      </c>
      <c r="N933" s="92" t="s">
        <v>5</v>
      </c>
      <c r="O933" s="87" t="s">
        <v>69</v>
      </c>
      <c r="P933" s="87"/>
      <c r="Q933" s="87" t="s">
        <v>1511</v>
      </c>
      <c r="R933" s="93" t="s">
        <v>71</v>
      </c>
      <c r="S933" s="87"/>
      <c r="T933" s="87"/>
      <c r="U933" s="94" t="str">
        <f t="array" ref="U933">IFERROR(INDEX(DFD!$D$2:$D$1048791,MATCH($Q933,DFD!$B$2:$B$1048791,0)),"")</f>
        <v/>
      </c>
      <c r="V933" s="94" t="str">
        <f t="array" ref="V933">IFERROR(INDEX(DFD!$F$2:$F$1048791,MATCH($Q933,DFD!$B$2:$B$1048791,0)),"")</f>
        <v/>
      </c>
      <c r="W933" s="97" t="str">
        <f t="array" ref="W933">IFERROR(INDEX(DFD!$E$2:$E$1048791,MATCH($Q933,DFD!$B$2:$B$1048791,0)),"")</f>
        <v/>
      </c>
      <c r="X933" s="97" t="str">
        <f t="array" ref="X933">IFERROR(INDEX(DFD!$K$2:$K$1048791,MATCH($Q933,DFD!$B$2:$B$1048791,0)),"")</f>
        <v/>
      </c>
      <c r="Y933" s="97" t="str">
        <f t="array" ref="Y933">IFERROR(INDEX(DFD!$L$2:$L$1048790,MATCH($Q933,DFD!$B$2:$B$1048790,0)),"")</f>
        <v/>
      </c>
      <c r="Z933" s="97">
        <f t="shared" si="18"/>
        <v>45</v>
      </c>
      <c r="AA933" s="87"/>
      <c r="AB933" s="87" t="s">
        <v>78</v>
      </c>
      <c r="AC933" s="87"/>
      <c r="AD933" s="99">
        <v>46043.0</v>
      </c>
      <c r="AE933" s="100">
        <f t="shared" si="19"/>
        <v>1</v>
      </c>
    </row>
    <row r="934" ht="15.75" customHeight="1">
      <c r="A934" s="59" t="s">
        <v>2510</v>
      </c>
      <c r="B934" s="59" t="s">
        <v>94</v>
      </c>
      <c r="C934" s="60" t="s">
        <v>2507</v>
      </c>
      <c r="D934" s="60" t="s">
        <v>51</v>
      </c>
      <c r="E934" s="60">
        <v>4.0</v>
      </c>
      <c r="F934" s="72">
        <v>800.0</v>
      </c>
      <c r="G934" s="73" t="s">
        <v>53</v>
      </c>
      <c r="H934" s="74">
        <v>46174.0</v>
      </c>
      <c r="I934" s="67" t="s">
        <v>17</v>
      </c>
      <c r="J934" s="67" t="s">
        <v>54</v>
      </c>
      <c r="K934" s="67" t="s">
        <v>66</v>
      </c>
      <c r="L934" s="67" t="s">
        <v>67</v>
      </c>
      <c r="M934" s="73" t="s">
        <v>68</v>
      </c>
      <c r="N934" s="67" t="s">
        <v>5</v>
      </c>
      <c r="O934" s="59" t="s">
        <v>69</v>
      </c>
      <c r="P934" s="59"/>
      <c r="Q934" s="59" t="s">
        <v>1511</v>
      </c>
      <c r="R934" s="76" t="s">
        <v>71</v>
      </c>
      <c r="S934" s="59"/>
      <c r="T934" s="59"/>
      <c r="U934" s="77" t="str">
        <f t="array" ref="U934">IFERROR(INDEX(DFD!$D$2:$D$1048791,MATCH($Q934,DFD!$B$2:$B$1048791,0)),"")</f>
        <v/>
      </c>
      <c r="V934" s="77" t="str">
        <f t="array" ref="V934">IFERROR(INDEX(DFD!$F$2:$F$1048791,MATCH($Q934,DFD!$B$2:$B$1048791,0)),"")</f>
        <v/>
      </c>
      <c r="W934" s="84" t="str">
        <f t="array" ref="W934">IFERROR(INDEX(DFD!$E$2:$E$1048791,MATCH($Q934,DFD!$B$2:$B$1048791,0)),"")</f>
        <v/>
      </c>
      <c r="X934" s="84" t="str">
        <f t="array" ref="X934">IFERROR(INDEX(DFD!$K$2:$K$1048791,MATCH($Q934,DFD!$B$2:$B$1048791,0)),"")</f>
        <v/>
      </c>
      <c r="Y934" s="84" t="str">
        <f t="array" ref="Y934">IFERROR(INDEX(DFD!$L$2:$L$1048790,MATCH($Q934,DFD!$B$2:$B$1048790,0)),"")</f>
        <v/>
      </c>
      <c r="Z934" s="84">
        <f t="shared" si="18"/>
        <v>45</v>
      </c>
      <c r="AA934" s="59"/>
      <c r="AB934" s="59" t="s">
        <v>78</v>
      </c>
      <c r="AC934" s="59"/>
      <c r="AD934" s="85">
        <v>46043.0</v>
      </c>
      <c r="AE934" s="86">
        <f t="shared" si="19"/>
        <v>1</v>
      </c>
    </row>
    <row r="935" ht="15.75" customHeight="1">
      <c r="A935" s="87" t="s">
        <v>2511</v>
      </c>
      <c r="B935" s="87" t="s">
        <v>98</v>
      </c>
      <c r="C935" s="88" t="s">
        <v>2507</v>
      </c>
      <c r="D935" s="88" t="s">
        <v>51</v>
      </c>
      <c r="E935" s="88">
        <v>4.0</v>
      </c>
      <c r="F935" s="89">
        <v>800.0</v>
      </c>
      <c r="G935" s="90" t="s">
        <v>53</v>
      </c>
      <c r="H935" s="91">
        <v>46174.0</v>
      </c>
      <c r="I935" s="92" t="s">
        <v>17</v>
      </c>
      <c r="J935" s="92" t="s">
        <v>54</v>
      </c>
      <c r="K935" s="92" t="s">
        <v>66</v>
      </c>
      <c r="L935" s="92" t="s">
        <v>67</v>
      </c>
      <c r="M935" s="90" t="s">
        <v>68</v>
      </c>
      <c r="N935" s="92" t="s">
        <v>5</v>
      </c>
      <c r="O935" s="92" t="s">
        <v>89</v>
      </c>
      <c r="P935" s="87"/>
      <c r="Q935" s="87" t="s">
        <v>1511</v>
      </c>
      <c r="R935" s="93" t="s">
        <v>71</v>
      </c>
      <c r="S935" s="87"/>
      <c r="T935" s="87"/>
      <c r="U935" s="94" t="str">
        <f t="array" ref="U935">IFERROR(INDEX(DFD!$D$2:$D$1048791,MATCH($Q935,DFD!$B$2:$B$1048791,0)),"")</f>
        <v/>
      </c>
      <c r="V935" s="94" t="str">
        <f t="array" ref="V935">IFERROR(INDEX(DFD!$F$2:$F$1048791,MATCH($Q935,DFD!$B$2:$B$1048791,0)),"")</f>
        <v/>
      </c>
      <c r="W935" s="97" t="str">
        <f t="array" ref="W935">IFERROR(INDEX(DFD!$E$2:$E$1048791,MATCH($Q935,DFD!$B$2:$B$1048791,0)),"")</f>
        <v/>
      </c>
      <c r="X935" s="97" t="str">
        <f t="array" ref="X935">IFERROR(INDEX(DFD!$K$2:$K$1048791,MATCH($Q935,DFD!$B$2:$B$1048791,0)),"")</f>
        <v/>
      </c>
      <c r="Y935" s="97" t="str">
        <f t="array" ref="Y935">IFERROR(INDEX(DFD!$L$2:$L$1048790,MATCH($Q935,DFD!$B$2:$B$1048790,0)),"")</f>
        <v/>
      </c>
      <c r="Z935" s="97">
        <f t="shared" si="18"/>
        <v>45</v>
      </c>
      <c r="AA935" s="87"/>
      <c r="AB935" s="87" t="s">
        <v>78</v>
      </c>
      <c r="AC935" s="87"/>
      <c r="AD935" s="99">
        <v>46043.0</v>
      </c>
      <c r="AE935" s="100">
        <f t="shared" si="19"/>
        <v>1</v>
      </c>
    </row>
    <row r="936" ht="15.75" customHeight="1">
      <c r="A936" s="67" t="s">
        <v>2512</v>
      </c>
      <c r="B936" s="59" t="s">
        <v>92</v>
      </c>
      <c r="C936" s="60" t="s">
        <v>2507</v>
      </c>
      <c r="D936" s="60" t="s">
        <v>51</v>
      </c>
      <c r="E936" s="60">
        <v>4.0</v>
      </c>
      <c r="F936" s="72">
        <v>800.0</v>
      </c>
      <c r="G936" s="73" t="s">
        <v>53</v>
      </c>
      <c r="H936" s="74">
        <v>46174.0</v>
      </c>
      <c r="I936" s="67" t="s">
        <v>17</v>
      </c>
      <c r="J936" s="67" t="s">
        <v>54</v>
      </c>
      <c r="K936" s="67" t="s">
        <v>66</v>
      </c>
      <c r="L936" s="67" t="s">
        <v>67</v>
      </c>
      <c r="M936" s="73" t="s">
        <v>117</v>
      </c>
      <c r="N936" s="67" t="s">
        <v>20</v>
      </c>
      <c r="O936" s="59" t="s">
        <v>69</v>
      </c>
      <c r="P936" s="59"/>
      <c r="Q936" s="59" t="s">
        <v>1511</v>
      </c>
      <c r="R936" s="76" t="s">
        <v>71</v>
      </c>
      <c r="S936" s="59"/>
      <c r="T936" s="59"/>
      <c r="U936" s="77" t="str">
        <f t="array" ref="U936">IFERROR(INDEX(DFD!$D$2:$D$1048791,MATCH($Q936,DFD!$B$2:$B$1048791,0)),"")</f>
        <v/>
      </c>
      <c r="V936" s="77" t="str">
        <f t="array" ref="V936">IFERROR(INDEX(DFD!$F$2:$F$1048791,MATCH($Q936,DFD!$B$2:$B$1048791,0)),"")</f>
        <v/>
      </c>
      <c r="W936" s="84" t="str">
        <f t="array" ref="W936">IFERROR(INDEX(DFD!$E$2:$E$1048791,MATCH($Q936,DFD!$B$2:$B$1048791,0)),"")</f>
        <v/>
      </c>
      <c r="X936" s="84" t="str">
        <f t="array" ref="X936">IFERROR(INDEX(DFD!$K$2:$K$1048791,MATCH($Q936,DFD!$B$2:$B$1048791,0)),"")</f>
        <v/>
      </c>
      <c r="Y936" s="84" t="str">
        <f t="array" ref="Y936">IFERROR(INDEX(DFD!$L$2:$L$1048790,MATCH($Q936,DFD!$B$2:$B$1048790,0)),"")</f>
        <v/>
      </c>
      <c r="Z936" s="84">
        <f t="shared" si="18"/>
        <v>45</v>
      </c>
      <c r="AA936" s="59"/>
      <c r="AB936" s="59" t="s">
        <v>78</v>
      </c>
      <c r="AC936" s="59"/>
      <c r="AD936" s="85">
        <v>46043.0</v>
      </c>
      <c r="AE936" s="86">
        <f t="shared" si="19"/>
        <v>1</v>
      </c>
    </row>
    <row r="937" ht="15.75" customHeight="1">
      <c r="A937" s="87" t="s">
        <v>2513</v>
      </c>
      <c r="B937" s="87" t="s">
        <v>80</v>
      </c>
      <c r="C937" s="88" t="s">
        <v>2507</v>
      </c>
      <c r="D937" s="88" t="s">
        <v>51</v>
      </c>
      <c r="E937" s="88">
        <v>3.0</v>
      </c>
      <c r="F937" s="89">
        <v>600.0</v>
      </c>
      <c r="G937" s="90" t="s">
        <v>53</v>
      </c>
      <c r="H937" s="91">
        <v>46174.0</v>
      </c>
      <c r="I937" s="92" t="s">
        <v>17</v>
      </c>
      <c r="J937" s="92" t="s">
        <v>54</v>
      </c>
      <c r="K937" s="92" t="s">
        <v>66</v>
      </c>
      <c r="L937" s="92" t="s">
        <v>67</v>
      </c>
      <c r="M937" s="90" t="s">
        <v>68</v>
      </c>
      <c r="N937" s="92" t="s">
        <v>5</v>
      </c>
      <c r="O937" s="87" t="s">
        <v>69</v>
      </c>
      <c r="P937" s="87"/>
      <c r="Q937" s="87" t="s">
        <v>1511</v>
      </c>
      <c r="R937" s="93" t="s">
        <v>71</v>
      </c>
      <c r="S937" s="87"/>
      <c r="T937" s="87"/>
      <c r="U937" s="94" t="str">
        <f t="array" ref="U937">IFERROR(INDEX(DFD!$D$2:$D$1048791,MATCH($Q937,DFD!$B$2:$B$1048791,0)),"")</f>
        <v/>
      </c>
      <c r="V937" s="94" t="str">
        <f t="array" ref="V937">IFERROR(INDEX(DFD!$F$2:$F$1048791,MATCH($Q937,DFD!$B$2:$B$1048791,0)),"")</f>
        <v/>
      </c>
      <c r="W937" s="97" t="str">
        <f t="array" ref="W937">IFERROR(INDEX(DFD!$E$2:$E$1048791,MATCH($Q937,DFD!$B$2:$B$1048791,0)),"")</f>
        <v/>
      </c>
      <c r="X937" s="97" t="str">
        <f t="array" ref="X937">IFERROR(INDEX(DFD!$K$2:$K$1048791,MATCH($Q937,DFD!$B$2:$B$1048791,0)),"")</f>
        <v/>
      </c>
      <c r="Y937" s="97" t="str">
        <f t="array" ref="Y937">IFERROR(INDEX(DFD!$L$2:$L$1048790,MATCH($Q937,DFD!$B$2:$B$1048790,0)),"")</f>
        <v/>
      </c>
      <c r="Z937" s="97">
        <f t="shared" si="18"/>
        <v>45</v>
      </c>
      <c r="AA937" s="87"/>
      <c r="AB937" s="87" t="s">
        <v>78</v>
      </c>
      <c r="AC937" s="87"/>
      <c r="AD937" s="99">
        <v>46043.0</v>
      </c>
      <c r="AE937" s="100">
        <f t="shared" si="19"/>
        <v>1</v>
      </c>
    </row>
    <row r="938" ht="15.75" customHeight="1">
      <c r="A938" s="59" t="s">
        <v>2514</v>
      </c>
      <c r="B938" s="59" t="s">
        <v>602</v>
      </c>
      <c r="C938" s="60" t="s">
        <v>2507</v>
      </c>
      <c r="D938" s="60" t="s">
        <v>51</v>
      </c>
      <c r="E938" s="60">
        <v>2.0</v>
      </c>
      <c r="F938" s="72">
        <v>400.0</v>
      </c>
      <c r="G938" s="73" t="s">
        <v>53</v>
      </c>
      <c r="H938" s="74">
        <v>46174.0</v>
      </c>
      <c r="I938" s="67" t="s">
        <v>17</v>
      </c>
      <c r="J938" s="67" t="s">
        <v>54</v>
      </c>
      <c r="K938" s="67" t="s">
        <v>66</v>
      </c>
      <c r="L938" s="67" t="s">
        <v>67</v>
      </c>
      <c r="M938" s="73" t="s">
        <v>68</v>
      </c>
      <c r="N938" s="67" t="s">
        <v>5</v>
      </c>
      <c r="O938" s="67" t="s">
        <v>89</v>
      </c>
      <c r="P938" s="59"/>
      <c r="Q938" s="59" t="s">
        <v>1511</v>
      </c>
      <c r="R938" s="76" t="s">
        <v>71</v>
      </c>
      <c r="S938" s="59"/>
      <c r="T938" s="59"/>
      <c r="U938" s="77" t="str">
        <f t="array" ref="U938">IFERROR(INDEX(DFD!$D$2:$D$1048791,MATCH($Q938,DFD!$B$2:$B$1048791,0)),"")</f>
        <v/>
      </c>
      <c r="V938" s="77" t="str">
        <f t="array" ref="V938">IFERROR(INDEX(DFD!$F$2:$F$1048791,MATCH($Q938,DFD!$B$2:$B$1048791,0)),"")</f>
        <v/>
      </c>
      <c r="W938" s="84" t="str">
        <f t="array" ref="W938">IFERROR(INDEX(DFD!$E$2:$E$1048791,MATCH($Q938,DFD!$B$2:$B$1048791,0)),"")</f>
        <v/>
      </c>
      <c r="X938" s="84" t="str">
        <f t="array" ref="X938">IFERROR(INDEX(DFD!$K$2:$K$1048791,MATCH($Q938,DFD!$B$2:$B$1048791,0)),"")</f>
        <v/>
      </c>
      <c r="Y938" s="84" t="str">
        <f t="array" ref="Y938">IFERROR(INDEX(DFD!$L$2:$L$1048790,MATCH($Q938,DFD!$B$2:$B$1048790,0)),"")</f>
        <v/>
      </c>
      <c r="Z938" s="84">
        <f t="shared" si="18"/>
        <v>45</v>
      </c>
      <c r="AA938" s="59"/>
      <c r="AB938" s="59" t="s">
        <v>78</v>
      </c>
      <c r="AC938" s="59"/>
      <c r="AD938" s="85">
        <v>46043.0</v>
      </c>
      <c r="AE938" s="86">
        <f t="shared" si="19"/>
        <v>1</v>
      </c>
    </row>
    <row r="939" ht="15.75" customHeight="1">
      <c r="A939" s="87" t="s">
        <v>2515</v>
      </c>
      <c r="B939" s="87" t="s">
        <v>171</v>
      </c>
      <c r="C939" s="88" t="s">
        <v>2507</v>
      </c>
      <c r="D939" s="88" t="s">
        <v>51</v>
      </c>
      <c r="E939" s="88">
        <v>1.0</v>
      </c>
      <c r="F939" s="89">
        <v>200.0</v>
      </c>
      <c r="G939" s="90" t="s">
        <v>53</v>
      </c>
      <c r="H939" s="91">
        <v>46143.0</v>
      </c>
      <c r="I939" s="92" t="s">
        <v>17</v>
      </c>
      <c r="J939" s="92" t="s">
        <v>54</v>
      </c>
      <c r="K939" s="92" t="s">
        <v>66</v>
      </c>
      <c r="L939" s="92" t="s">
        <v>67</v>
      </c>
      <c r="M939" s="90" t="s">
        <v>68</v>
      </c>
      <c r="N939" s="92" t="s">
        <v>5</v>
      </c>
      <c r="O939" s="87" t="s">
        <v>69</v>
      </c>
      <c r="P939" s="87"/>
      <c r="Q939" s="87" t="s">
        <v>1511</v>
      </c>
      <c r="R939" s="93" t="s">
        <v>71</v>
      </c>
      <c r="S939" s="87"/>
      <c r="T939" s="87"/>
      <c r="U939" s="94" t="str">
        <f t="array" ref="U939">IFERROR(INDEX(DFD!$D$2:$D$1048791,MATCH($Q939,DFD!$B$2:$B$1048791,0)),"")</f>
        <v/>
      </c>
      <c r="V939" s="94" t="str">
        <f t="array" ref="V939">IFERROR(INDEX(DFD!$F$2:$F$1048791,MATCH($Q939,DFD!$B$2:$B$1048791,0)),"")</f>
        <v/>
      </c>
      <c r="W939" s="97" t="str">
        <f t="array" ref="W939">IFERROR(INDEX(DFD!$E$2:$E$1048791,MATCH($Q939,DFD!$B$2:$B$1048791,0)),"")</f>
        <v/>
      </c>
      <c r="X939" s="97" t="str">
        <f t="array" ref="X939">IFERROR(INDEX(DFD!$K$2:$K$1048791,MATCH($Q939,DFD!$B$2:$B$1048791,0)),"")</f>
        <v/>
      </c>
      <c r="Y939" s="97" t="str">
        <f t="array" ref="Y939">IFERROR(INDEX(DFD!$L$2:$L$1048790,MATCH($Q939,DFD!$B$2:$B$1048790,0)),"")</f>
        <v/>
      </c>
      <c r="Z939" s="97">
        <f t="shared" si="18"/>
        <v>45</v>
      </c>
      <c r="AA939" s="87"/>
      <c r="AB939" s="87" t="s">
        <v>78</v>
      </c>
      <c r="AC939" s="87"/>
      <c r="AD939" s="99">
        <v>46043.0</v>
      </c>
      <c r="AE939" s="100">
        <f t="shared" si="19"/>
        <v>1</v>
      </c>
    </row>
    <row r="940" ht="15.75" customHeight="1">
      <c r="A940" s="67" t="s">
        <v>2516</v>
      </c>
      <c r="B940" s="59" t="s">
        <v>184</v>
      </c>
      <c r="C940" s="60" t="s">
        <v>2517</v>
      </c>
      <c r="D940" s="60" t="s">
        <v>51</v>
      </c>
      <c r="E940" s="60">
        <v>30.0</v>
      </c>
      <c r="F940" s="72">
        <v>3000.0</v>
      </c>
      <c r="G940" s="73" t="s">
        <v>53</v>
      </c>
      <c r="H940" s="74">
        <v>46174.0</v>
      </c>
      <c r="I940" s="67" t="s">
        <v>17</v>
      </c>
      <c r="J940" s="67" t="s">
        <v>54</v>
      </c>
      <c r="K940" s="67" t="s">
        <v>66</v>
      </c>
      <c r="L940" s="67" t="s">
        <v>67</v>
      </c>
      <c r="M940" s="73" t="s">
        <v>112</v>
      </c>
      <c r="N940" s="67" t="s">
        <v>20</v>
      </c>
      <c r="O940" s="59" t="s">
        <v>69</v>
      </c>
      <c r="P940" s="59"/>
      <c r="Q940" s="59" t="s">
        <v>286</v>
      </c>
      <c r="R940" s="76" t="s">
        <v>531</v>
      </c>
      <c r="S940" s="59"/>
      <c r="T940" s="59"/>
      <c r="U940" s="77" t="str">
        <f t="array" ref="U940">IFERROR(INDEX(DFD!$D$2:$D$1048791,MATCH($Q940,DFD!$B$2:$B$1048791,0)),"")</f>
        <v/>
      </c>
      <c r="V940" s="77" t="str">
        <f t="array" ref="V940">IFERROR(INDEX(DFD!$F$2:$F$1048791,MATCH($Q940,DFD!$B$2:$B$1048791,0)),"")</f>
        <v/>
      </c>
      <c r="W940" s="84" t="str">
        <f t="array" ref="W940">IFERROR(INDEX(DFD!$E$2:$E$1048791,MATCH($Q940,DFD!$B$2:$B$1048791,0)),"")</f>
        <v/>
      </c>
      <c r="X940" s="84" t="str">
        <f t="array" ref="X940">IFERROR(INDEX(DFD!$K$2:$K$1048791,MATCH($Q940,DFD!$B$2:$B$1048791,0)),"")</f>
        <v/>
      </c>
      <c r="Y940" s="84" t="str">
        <f t="array" ref="Y940">IFERROR(INDEX(DFD!$L$2:$L$1048790,MATCH($Q940,DFD!$B$2:$B$1048790,0)),"")</f>
        <v/>
      </c>
      <c r="Z940" s="84">
        <f t="shared" si="18"/>
        <v>45</v>
      </c>
      <c r="AA940" s="59"/>
      <c r="AB940" s="59" t="s">
        <v>288</v>
      </c>
      <c r="AC940" s="59"/>
      <c r="AD940" s="85">
        <v>46043.0</v>
      </c>
      <c r="AE940" s="86">
        <f t="shared" si="19"/>
        <v>1</v>
      </c>
    </row>
    <row r="941" ht="15.75" customHeight="1">
      <c r="A941" s="92" t="s">
        <v>2518</v>
      </c>
      <c r="B941" s="87" t="s">
        <v>87</v>
      </c>
      <c r="C941" s="88" t="s">
        <v>2517</v>
      </c>
      <c r="D941" s="88" t="s">
        <v>51</v>
      </c>
      <c r="E941" s="88">
        <v>2.0</v>
      </c>
      <c r="F941" s="89">
        <v>200.0</v>
      </c>
      <c r="G941" s="90" t="s">
        <v>53</v>
      </c>
      <c r="H941" s="91">
        <v>46143.0</v>
      </c>
      <c r="I941" s="92" t="s">
        <v>17</v>
      </c>
      <c r="J941" s="92" t="s">
        <v>54</v>
      </c>
      <c r="K941" s="92" t="s">
        <v>66</v>
      </c>
      <c r="L941" s="92" t="s">
        <v>56</v>
      </c>
      <c r="M941" s="90" t="s">
        <v>167</v>
      </c>
      <c r="N941" s="92" t="s">
        <v>20</v>
      </c>
      <c r="O941" s="92" t="s">
        <v>89</v>
      </c>
      <c r="P941" s="87"/>
      <c r="Q941" s="87" t="s">
        <v>286</v>
      </c>
      <c r="R941" s="93" t="s">
        <v>531</v>
      </c>
      <c r="S941" s="87"/>
      <c r="T941" s="87"/>
      <c r="U941" s="94" t="str">
        <f t="array" ref="U941">IFERROR(INDEX(DFD!$D$2:$D$1048791,MATCH($Q941,DFD!$B$2:$B$1048791,0)),"")</f>
        <v/>
      </c>
      <c r="V941" s="94" t="str">
        <f t="array" ref="V941">IFERROR(INDEX(DFD!$F$2:$F$1048791,MATCH($Q941,DFD!$B$2:$B$1048791,0)),"")</f>
        <v/>
      </c>
      <c r="W941" s="97" t="str">
        <f t="array" ref="W941">IFERROR(INDEX(DFD!$E$2:$E$1048791,MATCH($Q941,DFD!$B$2:$B$1048791,0)),"")</f>
        <v/>
      </c>
      <c r="X941" s="97" t="str">
        <f t="array" ref="X941">IFERROR(INDEX(DFD!$K$2:$K$1048791,MATCH($Q941,DFD!$B$2:$B$1048791,0)),"")</f>
        <v/>
      </c>
      <c r="Y941" s="97" t="str">
        <f t="array" ref="Y941">IFERROR(INDEX(DFD!$L$2:$L$1048790,MATCH($Q941,DFD!$B$2:$B$1048790,0)),"")</f>
        <v/>
      </c>
      <c r="Z941" s="97">
        <f t="shared" si="18"/>
        <v>45</v>
      </c>
      <c r="AA941" s="87"/>
      <c r="AB941" s="87" t="s">
        <v>288</v>
      </c>
      <c r="AC941" s="87"/>
      <c r="AD941" s="99">
        <v>46043.0</v>
      </c>
      <c r="AE941" s="100">
        <f t="shared" si="19"/>
        <v>1</v>
      </c>
    </row>
    <row r="942" ht="15.75" customHeight="1">
      <c r="A942" s="67" t="s">
        <v>2519</v>
      </c>
      <c r="B942" s="59" t="s">
        <v>184</v>
      </c>
      <c r="C942" s="60" t="s">
        <v>2520</v>
      </c>
      <c r="D942" s="60" t="s">
        <v>51</v>
      </c>
      <c r="E942" s="60">
        <v>30.0</v>
      </c>
      <c r="F942" s="72">
        <v>2250.0</v>
      </c>
      <c r="G942" s="73" t="s">
        <v>53</v>
      </c>
      <c r="H942" s="74">
        <v>46174.0</v>
      </c>
      <c r="I942" s="67" t="s">
        <v>17</v>
      </c>
      <c r="J942" s="67" t="s">
        <v>54</v>
      </c>
      <c r="K942" s="67" t="s">
        <v>66</v>
      </c>
      <c r="L942" s="67" t="s">
        <v>67</v>
      </c>
      <c r="M942" s="73" t="s">
        <v>117</v>
      </c>
      <c r="N942" s="67" t="s">
        <v>20</v>
      </c>
      <c r="O942" s="59" t="s">
        <v>69</v>
      </c>
      <c r="P942" s="59"/>
      <c r="Q942" s="59" t="s">
        <v>286</v>
      </c>
      <c r="R942" s="76" t="s">
        <v>531</v>
      </c>
      <c r="S942" s="59"/>
      <c r="T942" s="59"/>
      <c r="U942" s="77" t="str">
        <f t="array" ref="U942">IFERROR(INDEX(DFD!$D$2:$D$1048791,MATCH($Q942,DFD!$B$2:$B$1048791,0)),"")</f>
        <v/>
      </c>
      <c r="V942" s="77" t="str">
        <f t="array" ref="V942">IFERROR(INDEX(DFD!$F$2:$F$1048791,MATCH($Q942,DFD!$B$2:$B$1048791,0)),"")</f>
        <v/>
      </c>
      <c r="W942" s="84" t="str">
        <f t="array" ref="W942">IFERROR(INDEX(DFD!$E$2:$E$1048791,MATCH($Q942,DFD!$B$2:$B$1048791,0)),"")</f>
        <v/>
      </c>
      <c r="X942" s="84" t="str">
        <f t="array" ref="X942">IFERROR(INDEX(DFD!$K$2:$K$1048791,MATCH($Q942,DFD!$B$2:$B$1048791,0)),"")</f>
        <v/>
      </c>
      <c r="Y942" s="84" t="str">
        <f t="array" ref="Y942">IFERROR(INDEX(DFD!$L$2:$L$1048790,MATCH($Q942,DFD!$B$2:$B$1048790,0)),"")</f>
        <v/>
      </c>
      <c r="Z942" s="84">
        <f t="shared" si="18"/>
        <v>45</v>
      </c>
      <c r="AA942" s="59"/>
      <c r="AB942" s="59" t="s">
        <v>288</v>
      </c>
      <c r="AC942" s="59"/>
      <c r="AD942" s="85">
        <v>46043.0</v>
      </c>
      <c r="AE942" s="86">
        <f t="shared" si="19"/>
        <v>1</v>
      </c>
    </row>
    <row r="943" ht="15.75" customHeight="1">
      <c r="A943" s="87" t="s">
        <v>2521</v>
      </c>
      <c r="B943" s="87" t="s">
        <v>602</v>
      </c>
      <c r="C943" s="88" t="s">
        <v>2522</v>
      </c>
      <c r="D943" s="88" t="s">
        <v>51</v>
      </c>
      <c r="E943" s="88">
        <v>5.0</v>
      </c>
      <c r="F943" s="89">
        <v>250.0</v>
      </c>
      <c r="G943" s="90" t="s">
        <v>53</v>
      </c>
      <c r="H943" s="91">
        <v>46143.0</v>
      </c>
      <c r="I943" s="92" t="s">
        <v>17</v>
      </c>
      <c r="J943" s="92" t="s">
        <v>54</v>
      </c>
      <c r="K943" s="92" t="s">
        <v>66</v>
      </c>
      <c r="L943" s="92" t="s">
        <v>67</v>
      </c>
      <c r="M943" s="90" t="s">
        <v>132</v>
      </c>
      <c r="N943" s="92" t="s">
        <v>58</v>
      </c>
      <c r="O943" s="87" t="s">
        <v>69</v>
      </c>
      <c r="P943" s="87"/>
      <c r="Q943" s="87" t="s">
        <v>1234</v>
      </c>
      <c r="R943" s="93" t="s">
        <v>71</v>
      </c>
      <c r="S943" s="87"/>
      <c r="T943" s="87"/>
      <c r="U943" s="94" t="str">
        <f t="array" ref="U943">IFERROR(INDEX(DFD!$D$2:$D$1048791,MATCH($Q943,DFD!$B$2:$B$1048791,0)),"")</f>
        <v/>
      </c>
      <c r="V943" s="94" t="str">
        <f t="array" ref="V943">IFERROR(INDEX(DFD!$F$2:$F$1048791,MATCH($Q943,DFD!$B$2:$B$1048791,0)),"")</f>
        <v/>
      </c>
      <c r="W943" s="97" t="str">
        <f t="array" ref="W943">IFERROR(INDEX(DFD!$E$2:$E$1048791,MATCH($Q943,DFD!$B$2:$B$1048791,0)),"")</f>
        <v/>
      </c>
      <c r="X943" s="97" t="str">
        <f t="array" ref="X943">IFERROR(INDEX(DFD!$K$2:$K$1048791,MATCH($Q943,DFD!$B$2:$B$1048791,0)),"")</f>
        <v/>
      </c>
      <c r="Y943" s="97" t="str">
        <f t="array" ref="Y943">IFERROR(INDEX(DFD!$L$2:$L$1048790,MATCH($Q943,DFD!$B$2:$B$1048790,0)),"")</f>
        <v/>
      </c>
      <c r="Z943" s="97">
        <f t="shared" si="18"/>
        <v>45</v>
      </c>
      <c r="AA943" s="87"/>
      <c r="AB943" s="87" t="s">
        <v>78</v>
      </c>
      <c r="AC943" s="87"/>
      <c r="AD943" s="99">
        <v>46043.0</v>
      </c>
      <c r="AE943" s="100">
        <f t="shared" si="19"/>
        <v>1</v>
      </c>
    </row>
    <row r="944" ht="15.75" customHeight="1">
      <c r="A944" s="59" t="s">
        <v>2523</v>
      </c>
      <c r="B944" s="59" t="s">
        <v>92</v>
      </c>
      <c r="C944" s="60" t="s">
        <v>2522</v>
      </c>
      <c r="D944" s="60" t="s">
        <v>51</v>
      </c>
      <c r="E944" s="60">
        <v>3.0</v>
      </c>
      <c r="F944" s="72">
        <v>150.0</v>
      </c>
      <c r="G944" s="73" t="s">
        <v>53</v>
      </c>
      <c r="H944" s="74">
        <v>46143.0</v>
      </c>
      <c r="I944" s="67" t="s">
        <v>17</v>
      </c>
      <c r="J944" s="67" t="s">
        <v>54</v>
      </c>
      <c r="K944" s="67" t="s">
        <v>66</v>
      </c>
      <c r="L944" s="67" t="s">
        <v>67</v>
      </c>
      <c r="M944" s="73" t="s">
        <v>167</v>
      </c>
      <c r="N944" s="67" t="s">
        <v>58</v>
      </c>
      <c r="O944" s="67" t="s">
        <v>89</v>
      </c>
      <c r="P944" s="59"/>
      <c r="Q944" s="59" t="s">
        <v>1234</v>
      </c>
      <c r="R944" s="76" t="s">
        <v>71</v>
      </c>
      <c r="S944" s="59"/>
      <c r="T944" s="59"/>
      <c r="U944" s="77" t="str">
        <f t="array" ref="U944">IFERROR(INDEX(DFD!$D$2:$D$1048791,MATCH($Q944,DFD!$B$2:$B$1048791,0)),"")</f>
        <v/>
      </c>
      <c r="V944" s="77" t="str">
        <f t="array" ref="V944">IFERROR(INDEX(DFD!$F$2:$F$1048791,MATCH($Q944,DFD!$B$2:$B$1048791,0)),"")</f>
        <v/>
      </c>
      <c r="W944" s="84" t="str">
        <f t="array" ref="W944">IFERROR(INDEX(DFD!$E$2:$E$1048791,MATCH($Q944,DFD!$B$2:$B$1048791,0)),"")</f>
        <v/>
      </c>
      <c r="X944" s="84" t="str">
        <f t="array" ref="X944">IFERROR(INDEX(DFD!$K$2:$K$1048791,MATCH($Q944,DFD!$B$2:$B$1048791,0)),"")</f>
        <v/>
      </c>
      <c r="Y944" s="84" t="str">
        <f t="array" ref="Y944">IFERROR(INDEX(DFD!$L$2:$L$1048790,MATCH($Q944,DFD!$B$2:$B$1048790,0)),"")</f>
        <v/>
      </c>
      <c r="Z944" s="84">
        <f t="shared" si="18"/>
        <v>45</v>
      </c>
      <c r="AA944" s="59"/>
      <c r="AB944" s="59" t="s">
        <v>78</v>
      </c>
      <c r="AC944" s="59"/>
      <c r="AD944" s="85">
        <v>46043.0</v>
      </c>
      <c r="AE944" s="86">
        <f t="shared" si="19"/>
        <v>1</v>
      </c>
    </row>
    <row r="945" ht="15.75" customHeight="1">
      <c r="A945" s="92" t="s">
        <v>2524</v>
      </c>
      <c r="B945" s="87" t="s">
        <v>355</v>
      </c>
      <c r="C945" s="88" t="s">
        <v>2525</v>
      </c>
      <c r="D945" s="88" t="s">
        <v>2462</v>
      </c>
      <c r="E945" s="88">
        <v>1600.0</v>
      </c>
      <c r="F945" s="89">
        <v>56000.0</v>
      </c>
      <c r="G945" s="90" t="s">
        <v>53</v>
      </c>
      <c r="H945" s="91">
        <v>46266.0</v>
      </c>
      <c r="I945" s="92" t="s">
        <v>17</v>
      </c>
      <c r="J945" s="92" t="s">
        <v>54</v>
      </c>
      <c r="K945" s="92" t="s">
        <v>66</v>
      </c>
      <c r="L945" s="92" t="s">
        <v>56</v>
      </c>
      <c r="M945" s="90" t="s">
        <v>104</v>
      </c>
      <c r="N945" s="92" t="s">
        <v>20</v>
      </c>
      <c r="O945" s="87" t="s">
        <v>69</v>
      </c>
      <c r="P945" s="87"/>
      <c r="Q945" s="87" t="s">
        <v>2526</v>
      </c>
      <c r="R945" s="93" t="s">
        <v>2527</v>
      </c>
      <c r="S945" s="87"/>
      <c r="T945" s="87"/>
      <c r="U945" s="94" t="str">
        <f t="array" ref="U945">IFERROR(INDEX(DFD!$D$2:$D$1048791,MATCH($Q945,DFD!$B$2:$B$1048791,0)),"")</f>
        <v/>
      </c>
      <c r="V945" s="94" t="str">
        <f t="array" ref="V945">IFERROR(INDEX(DFD!$F$2:$F$1048791,MATCH($Q945,DFD!$B$2:$B$1048791,0)),"")</f>
        <v/>
      </c>
      <c r="W945" s="97" t="str">
        <f t="array" ref="W945">IFERROR(INDEX(DFD!$E$2:$E$1048791,MATCH($Q945,DFD!$B$2:$B$1048791,0)),"")</f>
        <v/>
      </c>
      <c r="X945" s="97" t="str">
        <f t="array" ref="X945">IFERROR(INDEX(DFD!$K$2:$K$1048791,MATCH($Q945,DFD!$B$2:$B$1048791,0)),"")</f>
        <v/>
      </c>
      <c r="Y945" s="97" t="str">
        <f t="array" ref="Y945">IFERROR(INDEX(DFD!$L$2:$L$1048790,MATCH($Q945,DFD!$B$2:$B$1048790,0)),"")</f>
        <v/>
      </c>
      <c r="Z945" s="97">
        <f t="shared" si="18"/>
        <v>45</v>
      </c>
      <c r="AA945" s="87"/>
      <c r="AB945" s="87" t="s">
        <v>78</v>
      </c>
      <c r="AC945" s="87"/>
      <c r="AD945" s="99">
        <v>46043.0</v>
      </c>
      <c r="AE945" s="100">
        <f t="shared" si="19"/>
        <v>1</v>
      </c>
    </row>
    <row r="946" ht="15.75" customHeight="1">
      <c r="A946" s="67" t="s">
        <v>2528</v>
      </c>
      <c r="B946" s="59" t="s">
        <v>355</v>
      </c>
      <c r="C946" s="60" t="s">
        <v>2529</v>
      </c>
      <c r="D946" s="60" t="s">
        <v>2462</v>
      </c>
      <c r="E946" s="60">
        <v>1920.0</v>
      </c>
      <c r="F946" s="72">
        <v>57600.0</v>
      </c>
      <c r="G946" s="73" t="s">
        <v>53</v>
      </c>
      <c r="H946" s="74">
        <v>46266.0</v>
      </c>
      <c r="I946" s="67" t="s">
        <v>17</v>
      </c>
      <c r="J946" s="67" t="s">
        <v>54</v>
      </c>
      <c r="K946" s="67" t="s">
        <v>66</v>
      </c>
      <c r="L946" s="67" t="s">
        <v>56</v>
      </c>
      <c r="M946" s="73" t="s">
        <v>68</v>
      </c>
      <c r="N946" s="67" t="s">
        <v>20</v>
      </c>
      <c r="O946" s="59" t="s">
        <v>69</v>
      </c>
      <c r="P946" s="59"/>
      <c r="Q946" s="59" t="s">
        <v>2526</v>
      </c>
      <c r="R946" s="76" t="s">
        <v>2527</v>
      </c>
      <c r="S946" s="59"/>
      <c r="T946" s="59"/>
      <c r="U946" s="77" t="str">
        <f t="array" ref="U946">IFERROR(INDEX(DFD!$D$2:$D$1048791,MATCH($Q946,DFD!$B$2:$B$1048791,0)),"")</f>
        <v/>
      </c>
      <c r="V946" s="77" t="str">
        <f t="array" ref="V946">IFERROR(INDEX(DFD!$F$2:$F$1048791,MATCH($Q946,DFD!$B$2:$B$1048791,0)),"")</f>
        <v/>
      </c>
      <c r="W946" s="84" t="str">
        <f t="array" ref="W946">IFERROR(INDEX(DFD!$E$2:$E$1048791,MATCH($Q946,DFD!$B$2:$B$1048791,0)),"")</f>
        <v/>
      </c>
      <c r="X946" s="84" t="str">
        <f t="array" ref="X946">IFERROR(INDEX(DFD!$K$2:$K$1048791,MATCH($Q946,DFD!$B$2:$B$1048791,0)),"")</f>
        <v/>
      </c>
      <c r="Y946" s="84" t="str">
        <f t="array" ref="Y946">IFERROR(INDEX(DFD!$L$2:$L$1048790,MATCH($Q946,DFD!$B$2:$B$1048790,0)),"")</f>
        <v/>
      </c>
      <c r="Z946" s="84">
        <f t="shared" si="18"/>
        <v>45</v>
      </c>
      <c r="AA946" s="59"/>
      <c r="AB946" s="59" t="s">
        <v>78</v>
      </c>
      <c r="AC946" s="59"/>
      <c r="AD946" s="85">
        <v>46043.0</v>
      </c>
      <c r="AE946" s="86">
        <f t="shared" si="19"/>
        <v>1</v>
      </c>
    </row>
    <row r="947" ht="15.75" customHeight="1">
      <c r="A947" s="87" t="s">
        <v>2530</v>
      </c>
      <c r="B947" s="87" t="s">
        <v>52</v>
      </c>
      <c r="C947" s="88" t="s">
        <v>2531</v>
      </c>
      <c r="D947" s="88" t="s">
        <v>51</v>
      </c>
      <c r="E947" s="88">
        <v>1.0</v>
      </c>
      <c r="F947" s="89">
        <v>3.0E7</v>
      </c>
      <c r="G947" s="90" t="s">
        <v>53</v>
      </c>
      <c r="H947" s="91">
        <v>46174.0</v>
      </c>
      <c r="I947" s="92" t="s">
        <v>18</v>
      </c>
      <c r="J947" s="92" t="s">
        <v>54</v>
      </c>
      <c r="K947" s="92" t="s">
        <v>83</v>
      </c>
      <c r="L947" s="92" t="s">
        <v>56</v>
      </c>
      <c r="M947" s="90" t="s">
        <v>104</v>
      </c>
      <c r="N947" s="92" t="s">
        <v>58</v>
      </c>
      <c r="O947" s="92" t="s">
        <v>89</v>
      </c>
      <c r="P947" s="87"/>
      <c r="Q947" s="87" t="s">
        <v>52</v>
      </c>
      <c r="R947" s="93" t="s">
        <v>2532</v>
      </c>
      <c r="S947" s="87"/>
      <c r="T947" s="87"/>
      <c r="U947" s="94"/>
      <c r="V947" s="94"/>
      <c r="W947" s="97"/>
      <c r="X947" s="97"/>
      <c r="Y947" s="97"/>
      <c r="Z947" s="97"/>
      <c r="AA947" s="87"/>
      <c r="AB947" s="87" t="s">
        <v>72</v>
      </c>
      <c r="AC947" s="87"/>
      <c r="AD947" s="99">
        <v>46043.0</v>
      </c>
      <c r="AE947" s="100">
        <f t="shared" si="19"/>
        <v>1</v>
      </c>
    </row>
    <row r="948" ht="15.75" customHeight="1">
      <c r="A948" s="67" t="s">
        <v>2533</v>
      </c>
      <c r="B948" s="59" t="s">
        <v>184</v>
      </c>
      <c r="C948" s="60" t="s">
        <v>2534</v>
      </c>
      <c r="D948" s="60" t="s">
        <v>2535</v>
      </c>
      <c r="E948" s="60">
        <v>200.0</v>
      </c>
      <c r="F948" s="72">
        <v>22000.0</v>
      </c>
      <c r="G948" s="73" t="s">
        <v>53</v>
      </c>
      <c r="H948" s="74">
        <v>46266.0</v>
      </c>
      <c r="I948" s="67" t="s">
        <v>17</v>
      </c>
      <c r="J948" s="67" t="s">
        <v>54</v>
      </c>
      <c r="K948" s="67" t="s">
        <v>66</v>
      </c>
      <c r="L948" s="67" t="s">
        <v>67</v>
      </c>
      <c r="M948" s="73" t="s">
        <v>104</v>
      </c>
      <c r="N948" s="67" t="s">
        <v>20</v>
      </c>
      <c r="O948" s="59" t="s">
        <v>69</v>
      </c>
      <c r="P948" s="59"/>
      <c r="Q948" s="59" t="s">
        <v>2536</v>
      </c>
      <c r="R948" s="76" t="s">
        <v>61</v>
      </c>
      <c r="S948" s="59"/>
      <c r="T948" s="59"/>
      <c r="U948" s="77" t="str">
        <f t="array" ref="U948">IFERROR(INDEX(DFD!$D$2:$D$1048791,MATCH($Q948,DFD!$B$2:$B$1048791,0)),"")</f>
        <v/>
      </c>
      <c r="V948" s="77" t="str">
        <f t="array" ref="V948">IFERROR(INDEX(DFD!$F$2:$F$1048791,MATCH($Q948,DFD!$B$2:$B$1048791,0)),"")</f>
        <v/>
      </c>
      <c r="W948" s="84" t="str">
        <f t="array" ref="W948">IFERROR(INDEX(DFD!$E$2:$E$1048791,MATCH($Q948,DFD!$B$2:$B$1048791,0)),"")</f>
        <v/>
      </c>
      <c r="X948" s="84" t="str">
        <f t="array" ref="X948">IFERROR(INDEX(DFD!$K$2:$K$1048791,MATCH($Q948,DFD!$B$2:$B$1048791,0)),"")</f>
        <v/>
      </c>
      <c r="Y948" s="84" t="str">
        <f t="array" ref="Y948">IFERROR(INDEX(DFD!$L$2:$L$1048790,MATCH($Q948,DFD!$B$2:$B$1048790,0)),"")</f>
        <v/>
      </c>
      <c r="Z948" s="84">
        <f t="shared" ref="Z948:Z1116" si="21">Y948+45</f>
        <v>45</v>
      </c>
      <c r="AA948" s="59"/>
      <c r="AB948" s="59" t="s">
        <v>78</v>
      </c>
      <c r="AC948" s="59"/>
      <c r="AD948" s="85">
        <v>46043.0</v>
      </c>
      <c r="AE948" s="86">
        <f t="shared" si="19"/>
        <v>1</v>
      </c>
    </row>
    <row r="949" ht="15.75" customHeight="1">
      <c r="A949" s="87" t="s">
        <v>2537</v>
      </c>
      <c r="B949" s="87" t="s">
        <v>101</v>
      </c>
      <c r="C949" s="88" t="s">
        <v>2538</v>
      </c>
      <c r="D949" s="88" t="s">
        <v>51</v>
      </c>
      <c r="E949" s="88">
        <v>15.0</v>
      </c>
      <c r="F949" s="89">
        <v>3960.0</v>
      </c>
      <c r="G949" s="90" t="s">
        <v>53</v>
      </c>
      <c r="H949" s="91">
        <v>46174.0</v>
      </c>
      <c r="I949" s="92" t="s">
        <v>17</v>
      </c>
      <c r="J949" s="92" t="s">
        <v>54</v>
      </c>
      <c r="K949" s="92" t="s">
        <v>66</v>
      </c>
      <c r="L949" s="92" t="s">
        <v>56</v>
      </c>
      <c r="M949" s="90" t="s">
        <v>68</v>
      </c>
      <c r="N949" s="92" t="s">
        <v>58</v>
      </c>
      <c r="O949" s="87" t="s">
        <v>69</v>
      </c>
      <c r="P949" s="87"/>
      <c r="Q949" s="87" t="s">
        <v>491</v>
      </c>
      <c r="R949" s="93" t="s">
        <v>269</v>
      </c>
      <c r="S949" s="87"/>
      <c r="T949" s="87"/>
      <c r="U949" s="94" t="str">
        <f t="array" ref="U949">IFERROR(INDEX(DFD!$D$2:$D$1048791,MATCH($Q949,DFD!$B$2:$B$1048791,0)),"")</f>
        <v/>
      </c>
      <c r="V949" s="94" t="str">
        <f t="array" ref="V949">IFERROR(INDEX(DFD!$F$2:$F$1048791,MATCH($Q949,DFD!$B$2:$B$1048791,0)),"")</f>
        <v/>
      </c>
      <c r="W949" s="97" t="str">
        <f t="array" ref="W949">IFERROR(INDEX(DFD!$E$2:$E$1048791,MATCH($Q949,DFD!$B$2:$B$1048791,0)),"")</f>
        <v/>
      </c>
      <c r="X949" s="97" t="str">
        <f t="array" ref="X949">IFERROR(INDEX(DFD!$K$2:$K$1048791,MATCH($Q949,DFD!$B$2:$B$1048791,0)),"")</f>
        <v/>
      </c>
      <c r="Y949" s="97" t="str">
        <f t="array" ref="Y949">IFERROR(INDEX(DFD!$L$2:$L$1048790,MATCH($Q949,DFD!$B$2:$B$1048790,0)),"")</f>
        <v/>
      </c>
      <c r="Z949" s="97">
        <f t="shared" si="21"/>
        <v>45</v>
      </c>
      <c r="AA949" s="87"/>
      <c r="AB949" s="87" t="s">
        <v>78</v>
      </c>
      <c r="AC949" s="87"/>
      <c r="AD949" s="99">
        <v>46043.0</v>
      </c>
      <c r="AE949" s="100">
        <f t="shared" si="19"/>
        <v>1</v>
      </c>
    </row>
    <row r="950" ht="15.75" customHeight="1">
      <c r="A950" s="67" t="s">
        <v>2539</v>
      </c>
      <c r="B950" s="59" t="s">
        <v>184</v>
      </c>
      <c r="C950" s="60" t="s">
        <v>2540</v>
      </c>
      <c r="D950" s="60" t="s">
        <v>51</v>
      </c>
      <c r="E950" s="60">
        <v>10.0</v>
      </c>
      <c r="F950" s="72">
        <v>1720.5</v>
      </c>
      <c r="G950" s="73" t="s">
        <v>53</v>
      </c>
      <c r="H950" s="74">
        <v>46174.0</v>
      </c>
      <c r="I950" s="67" t="s">
        <v>17</v>
      </c>
      <c r="J950" s="67" t="s">
        <v>54</v>
      </c>
      <c r="K950" s="67" t="s">
        <v>66</v>
      </c>
      <c r="L950" s="67" t="s">
        <v>67</v>
      </c>
      <c r="M950" s="73" t="s">
        <v>112</v>
      </c>
      <c r="N950" s="67" t="s">
        <v>20</v>
      </c>
      <c r="O950" s="67" t="s">
        <v>89</v>
      </c>
      <c r="P950" s="59"/>
      <c r="Q950" s="59" t="s">
        <v>491</v>
      </c>
      <c r="R950" s="76" t="s">
        <v>269</v>
      </c>
      <c r="S950" s="59"/>
      <c r="T950" s="59"/>
      <c r="U950" s="77" t="str">
        <f t="array" ref="U950">IFERROR(INDEX(DFD!$D$2:$D$1048791,MATCH($Q950,DFD!$B$2:$B$1048791,0)),"")</f>
        <v/>
      </c>
      <c r="V950" s="77" t="str">
        <f t="array" ref="V950">IFERROR(INDEX(DFD!$F$2:$F$1048791,MATCH($Q950,DFD!$B$2:$B$1048791,0)),"")</f>
        <v/>
      </c>
      <c r="W950" s="84" t="str">
        <f t="array" ref="W950">IFERROR(INDEX(DFD!$E$2:$E$1048791,MATCH($Q950,DFD!$B$2:$B$1048791,0)),"")</f>
        <v/>
      </c>
      <c r="X950" s="84" t="str">
        <f t="array" ref="X950">IFERROR(INDEX(DFD!$K$2:$K$1048791,MATCH($Q950,DFD!$B$2:$B$1048791,0)),"")</f>
        <v/>
      </c>
      <c r="Y950" s="84" t="str">
        <f t="array" ref="Y950">IFERROR(INDEX(DFD!$L$2:$L$1048790,MATCH($Q950,DFD!$B$2:$B$1048790,0)),"")</f>
        <v/>
      </c>
      <c r="Z950" s="84">
        <f t="shared" si="21"/>
        <v>45</v>
      </c>
      <c r="AA950" s="59"/>
      <c r="AB950" s="59" t="s">
        <v>78</v>
      </c>
      <c r="AC950" s="59"/>
      <c r="AD950" s="85">
        <v>46043.0</v>
      </c>
      <c r="AE950" s="86">
        <f t="shared" si="19"/>
        <v>1</v>
      </c>
    </row>
    <row r="951" ht="15.75" customHeight="1">
      <c r="A951" s="92" t="s">
        <v>2541</v>
      </c>
      <c r="B951" s="87" t="s">
        <v>184</v>
      </c>
      <c r="C951" s="88" t="s">
        <v>2542</v>
      </c>
      <c r="D951" s="88" t="s">
        <v>51</v>
      </c>
      <c r="E951" s="88">
        <v>20.0</v>
      </c>
      <c r="F951" s="89">
        <v>3940.0</v>
      </c>
      <c r="G951" s="90" t="s">
        <v>53</v>
      </c>
      <c r="H951" s="91">
        <v>46174.0</v>
      </c>
      <c r="I951" s="92" t="s">
        <v>17</v>
      </c>
      <c r="J951" s="92" t="s">
        <v>54</v>
      </c>
      <c r="K951" s="92" t="s">
        <v>66</v>
      </c>
      <c r="L951" s="92" t="s">
        <v>67</v>
      </c>
      <c r="M951" s="90" t="s">
        <v>112</v>
      </c>
      <c r="N951" s="92" t="s">
        <v>20</v>
      </c>
      <c r="O951" s="87" t="s">
        <v>69</v>
      </c>
      <c r="P951" s="87"/>
      <c r="Q951" s="87" t="s">
        <v>491</v>
      </c>
      <c r="R951" s="93" t="s">
        <v>269</v>
      </c>
      <c r="S951" s="87"/>
      <c r="T951" s="87"/>
      <c r="U951" s="94" t="str">
        <f t="array" ref="U951">IFERROR(INDEX(DFD!$D$2:$D$1048791,MATCH($Q951,DFD!$B$2:$B$1048791,0)),"")</f>
        <v/>
      </c>
      <c r="V951" s="94" t="str">
        <f t="array" ref="V951">IFERROR(INDEX(DFD!$F$2:$F$1048791,MATCH($Q951,DFD!$B$2:$B$1048791,0)),"")</f>
        <v/>
      </c>
      <c r="W951" s="97" t="str">
        <f t="array" ref="W951">IFERROR(INDEX(DFD!$E$2:$E$1048791,MATCH($Q951,DFD!$B$2:$B$1048791,0)),"")</f>
        <v/>
      </c>
      <c r="X951" s="97" t="str">
        <f t="array" ref="X951">IFERROR(INDEX(DFD!$K$2:$K$1048791,MATCH($Q951,DFD!$B$2:$B$1048791,0)),"")</f>
        <v/>
      </c>
      <c r="Y951" s="97" t="str">
        <f t="array" ref="Y951">IFERROR(INDEX(DFD!$L$2:$L$1048790,MATCH($Q951,DFD!$B$2:$B$1048790,0)),"")</f>
        <v/>
      </c>
      <c r="Z951" s="97">
        <f t="shared" si="21"/>
        <v>45</v>
      </c>
      <c r="AA951" s="87"/>
      <c r="AB951" s="87" t="s">
        <v>78</v>
      </c>
      <c r="AC951" s="87"/>
      <c r="AD951" s="99">
        <v>46043.0</v>
      </c>
      <c r="AE951" s="100">
        <f t="shared" si="19"/>
        <v>1</v>
      </c>
    </row>
    <row r="952" ht="15.75" customHeight="1">
      <c r="A952" s="67" t="s">
        <v>2543</v>
      </c>
      <c r="B952" s="59" t="s">
        <v>184</v>
      </c>
      <c r="C952" s="60" t="s">
        <v>2544</v>
      </c>
      <c r="D952" s="60" t="s">
        <v>51</v>
      </c>
      <c r="E952" s="60">
        <v>10.0</v>
      </c>
      <c r="F952" s="72">
        <v>148.0</v>
      </c>
      <c r="G952" s="73" t="s">
        <v>53</v>
      </c>
      <c r="H952" s="74">
        <v>46143.0</v>
      </c>
      <c r="I952" s="67" t="s">
        <v>17</v>
      </c>
      <c r="J952" s="67" t="s">
        <v>54</v>
      </c>
      <c r="K952" s="67" t="s">
        <v>66</v>
      </c>
      <c r="L952" s="67" t="s">
        <v>67</v>
      </c>
      <c r="M952" s="73" t="s">
        <v>104</v>
      </c>
      <c r="N952" s="67" t="s">
        <v>20</v>
      </c>
      <c r="O952" s="59" t="s">
        <v>69</v>
      </c>
      <c r="P952" s="59"/>
      <c r="Q952" s="59" t="s">
        <v>800</v>
      </c>
      <c r="R952" s="76" t="s">
        <v>287</v>
      </c>
      <c r="S952" s="59"/>
      <c r="T952" s="59"/>
      <c r="U952" s="77" t="str">
        <f t="array" ref="U952">IFERROR(INDEX(DFD!$D$2:$D$1048791,MATCH($Q952,DFD!$B$2:$B$1048791,0)),"")</f>
        <v/>
      </c>
      <c r="V952" s="77" t="str">
        <f t="array" ref="V952">IFERROR(INDEX(DFD!$F$2:$F$1048791,MATCH($Q952,DFD!$B$2:$B$1048791,0)),"")</f>
        <v/>
      </c>
      <c r="W952" s="84" t="str">
        <f t="array" ref="W952">IFERROR(INDEX(DFD!$E$2:$E$1048791,MATCH($Q952,DFD!$B$2:$B$1048791,0)),"")</f>
        <v/>
      </c>
      <c r="X952" s="84" t="str">
        <f t="array" ref="X952">IFERROR(INDEX(DFD!$K$2:$K$1048791,MATCH($Q952,DFD!$B$2:$B$1048791,0)),"")</f>
        <v/>
      </c>
      <c r="Y952" s="84" t="str">
        <f t="array" ref="Y952">IFERROR(INDEX(DFD!$L$2:$L$1048790,MATCH($Q952,DFD!$B$2:$B$1048790,0)),"")</f>
        <v/>
      </c>
      <c r="Z952" s="84">
        <f t="shared" si="21"/>
        <v>45</v>
      </c>
      <c r="AA952" s="59"/>
      <c r="AB952" s="59" t="s">
        <v>78</v>
      </c>
      <c r="AC952" s="59"/>
      <c r="AD952" s="85">
        <v>46043.0</v>
      </c>
      <c r="AE952" s="86">
        <f t="shared" si="19"/>
        <v>1</v>
      </c>
    </row>
    <row r="953" ht="15.75" customHeight="1">
      <c r="A953" s="92" t="s">
        <v>2545</v>
      </c>
      <c r="B953" s="92" t="s">
        <v>107</v>
      </c>
      <c r="C953" s="88" t="s">
        <v>2546</v>
      </c>
      <c r="D953" s="116" t="s">
        <v>51</v>
      </c>
      <c r="E953" s="116">
        <v>8.0</v>
      </c>
      <c r="F953" s="137">
        <v>400.0</v>
      </c>
      <c r="G953" s="90" t="s">
        <v>53</v>
      </c>
      <c r="H953" s="118">
        <v>46174.0</v>
      </c>
      <c r="I953" s="92" t="s">
        <v>17</v>
      </c>
      <c r="J953" s="92" t="s">
        <v>54</v>
      </c>
      <c r="K953" s="92" t="s">
        <v>66</v>
      </c>
      <c r="L953" s="92" t="s">
        <v>56</v>
      </c>
      <c r="M953" s="90" t="s">
        <v>117</v>
      </c>
      <c r="N953" s="92" t="s">
        <v>20</v>
      </c>
      <c r="O953" s="92" t="s">
        <v>89</v>
      </c>
      <c r="P953" s="87"/>
      <c r="Q953" s="87" t="s">
        <v>2123</v>
      </c>
      <c r="R953" s="93" t="s">
        <v>61</v>
      </c>
      <c r="S953" s="87"/>
      <c r="T953" s="87"/>
      <c r="U953" s="94" t="str">
        <f t="array" ref="U953">IFERROR(INDEX(DFD!$D$2:$D$1048791,MATCH($Q953,DFD!$B$2:$B$1048791,0)),"")</f>
        <v/>
      </c>
      <c r="V953" s="94" t="str">
        <f t="array" ref="V953">IFERROR(INDEX(DFD!$F$2:$F$1048791,MATCH($Q953,DFD!$B$2:$B$1048791,0)),"")</f>
        <v/>
      </c>
      <c r="W953" s="97" t="str">
        <f t="array" ref="W953">IFERROR(INDEX(DFD!$E$2:$E$1048791,MATCH($Q953,DFD!$B$2:$B$1048791,0)),"")</f>
        <v/>
      </c>
      <c r="X953" s="97" t="str">
        <f t="array" ref="X953">IFERROR(INDEX(DFD!$K$2:$K$1048791,MATCH($Q953,DFD!$B$2:$B$1048791,0)),"")</f>
        <v/>
      </c>
      <c r="Y953" s="97" t="str">
        <f t="array" ref="Y953">IFERROR(INDEX(DFD!$L$2:$L$1048790,MATCH($Q953,DFD!$B$2:$B$1048790,0)),"")</f>
        <v/>
      </c>
      <c r="Z953" s="97">
        <f t="shared" si="21"/>
        <v>45</v>
      </c>
      <c r="AA953" s="87"/>
      <c r="AB953" s="87" t="s">
        <v>78</v>
      </c>
      <c r="AC953" s="87"/>
      <c r="AD953" s="99">
        <v>46043.0</v>
      </c>
      <c r="AE953" s="100">
        <f t="shared" si="19"/>
        <v>1</v>
      </c>
    </row>
    <row r="954" ht="15.75" customHeight="1">
      <c r="A954" s="67" t="s">
        <v>2547</v>
      </c>
      <c r="B954" s="67" t="s">
        <v>107</v>
      </c>
      <c r="C954" s="60" t="s">
        <v>2548</v>
      </c>
      <c r="D954" s="81" t="s">
        <v>51</v>
      </c>
      <c r="E954" s="81">
        <v>4.0</v>
      </c>
      <c r="F954" s="101">
        <v>200.0</v>
      </c>
      <c r="G954" s="73" t="s">
        <v>53</v>
      </c>
      <c r="H954" s="83">
        <v>46143.0</v>
      </c>
      <c r="I954" s="67" t="s">
        <v>17</v>
      </c>
      <c r="J954" s="67" t="s">
        <v>54</v>
      </c>
      <c r="K954" s="67" t="s">
        <v>66</v>
      </c>
      <c r="L954" s="67" t="s">
        <v>56</v>
      </c>
      <c r="M954" s="73" t="s">
        <v>117</v>
      </c>
      <c r="N954" s="67" t="s">
        <v>20</v>
      </c>
      <c r="O954" s="59" t="s">
        <v>69</v>
      </c>
      <c r="P954" s="59"/>
      <c r="Q954" s="59" t="s">
        <v>2123</v>
      </c>
      <c r="R954" s="76" t="s">
        <v>61</v>
      </c>
      <c r="S954" s="59"/>
      <c r="T954" s="59"/>
      <c r="U954" s="77" t="str">
        <f t="array" ref="U954">IFERROR(INDEX(DFD!$D$2:$D$1048791,MATCH($Q954,DFD!$B$2:$B$1048791,0)),"")</f>
        <v/>
      </c>
      <c r="V954" s="77" t="str">
        <f t="array" ref="V954">IFERROR(INDEX(DFD!$F$2:$F$1048791,MATCH($Q954,DFD!$B$2:$B$1048791,0)),"")</f>
        <v/>
      </c>
      <c r="W954" s="84" t="str">
        <f t="array" ref="W954">IFERROR(INDEX(DFD!$E$2:$E$1048791,MATCH($Q954,DFD!$B$2:$B$1048791,0)),"")</f>
        <v/>
      </c>
      <c r="X954" s="84" t="str">
        <f t="array" ref="X954">IFERROR(INDEX(DFD!$K$2:$K$1048791,MATCH($Q954,DFD!$B$2:$B$1048791,0)),"")</f>
        <v/>
      </c>
      <c r="Y954" s="84" t="str">
        <f t="array" ref="Y954">IFERROR(INDEX(DFD!$L$2:$L$1048790,MATCH($Q954,DFD!$B$2:$B$1048790,0)),"")</f>
        <v/>
      </c>
      <c r="Z954" s="84">
        <f t="shared" si="21"/>
        <v>45</v>
      </c>
      <c r="AA954" s="59"/>
      <c r="AB954" s="59" t="s">
        <v>78</v>
      </c>
      <c r="AC954" s="59"/>
      <c r="AD954" s="85">
        <v>46043.0</v>
      </c>
      <c r="AE954" s="86">
        <f t="shared" si="19"/>
        <v>1</v>
      </c>
    </row>
    <row r="955" ht="15.75" customHeight="1">
      <c r="A955" s="92" t="s">
        <v>2549</v>
      </c>
      <c r="B955" s="92" t="s">
        <v>107</v>
      </c>
      <c r="C955" s="88" t="s">
        <v>2550</v>
      </c>
      <c r="D955" s="116" t="s">
        <v>51</v>
      </c>
      <c r="E955" s="116">
        <v>2.0</v>
      </c>
      <c r="F955" s="137">
        <v>100.0</v>
      </c>
      <c r="G955" s="90" t="s">
        <v>53</v>
      </c>
      <c r="H955" s="118">
        <v>46143.0</v>
      </c>
      <c r="I955" s="92" t="s">
        <v>17</v>
      </c>
      <c r="J955" s="92" t="s">
        <v>54</v>
      </c>
      <c r="K955" s="92" t="s">
        <v>66</v>
      </c>
      <c r="L955" s="92" t="s">
        <v>56</v>
      </c>
      <c r="M955" s="90" t="s">
        <v>117</v>
      </c>
      <c r="N955" s="92" t="s">
        <v>20</v>
      </c>
      <c r="O955" s="87" t="s">
        <v>69</v>
      </c>
      <c r="P955" s="87"/>
      <c r="Q955" s="87" t="s">
        <v>2123</v>
      </c>
      <c r="R955" s="93" t="s">
        <v>61</v>
      </c>
      <c r="S955" s="87"/>
      <c r="T955" s="87"/>
      <c r="U955" s="94" t="str">
        <f t="array" ref="U955">IFERROR(INDEX(DFD!$D$2:$D$1048791,MATCH($Q955,DFD!$B$2:$B$1048791,0)),"")</f>
        <v/>
      </c>
      <c r="V955" s="94" t="str">
        <f t="array" ref="V955">IFERROR(INDEX(DFD!$F$2:$F$1048791,MATCH($Q955,DFD!$B$2:$B$1048791,0)),"")</f>
        <v/>
      </c>
      <c r="W955" s="97" t="str">
        <f t="array" ref="W955">IFERROR(INDEX(DFD!$E$2:$E$1048791,MATCH($Q955,DFD!$B$2:$B$1048791,0)),"")</f>
        <v/>
      </c>
      <c r="X955" s="97" t="str">
        <f t="array" ref="X955">IFERROR(INDEX(DFD!$K$2:$K$1048791,MATCH($Q955,DFD!$B$2:$B$1048791,0)),"")</f>
        <v/>
      </c>
      <c r="Y955" s="97" t="str">
        <f t="array" ref="Y955">IFERROR(INDEX(DFD!$L$2:$L$1048790,MATCH($Q955,DFD!$B$2:$B$1048790,0)),"")</f>
        <v/>
      </c>
      <c r="Z955" s="97">
        <f t="shared" si="21"/>
        <v>45</v>
      </c>
      <c r="AA955" s="87"/>
      <c r="AB955" s="87" t="s">
        <v>78</v>
      </c>
      <c r="AC955" s="87"/>
      <c r="AD955" s="99">
        <v>46043.0</v>
      </c>
      <c r="AE955" s="100">
        <f t="shared" si="19"/>
        <v>1</v>
      </c>
    </row>
    <row r="956" ht="15.75" customHeight="1">
      <c r="A956" s="67" t="s">
        <v>2551</v>
      </c>
      <c r="B956" s="67" t="s">
        <v>107</v>
      </c>
      <c r="C956" s="60" t="s">
        <v>2552</v>
      </c>
      <c r="D956" s="81" t="s">
        <v>51</v>
      </c>
      <c r="E956" s="81">
        <v>4.0</v>
      </c>
      <c r="F956" s="101">
        <v>600.0</v>
      </c>
      <c r="G956" s="73" t="s">
        <v>53</v>
      </c>
      <c r="H956" s="83">
        <v>46174.0</v>
      </c>
      <c r="I956" s="67" t="s">
        <v>17</v>
      </c>
      <c r="J956" s="67" t="s">
        <v>54</v>
      </c>
      <c r="K956" s="67" t="s">
        <v>66</v>
      </c>
      <c r="L956" s="67" t="s">
        <v>56</v>
      </c>
      <c r="M956" s="73" t="s">
        <v>117</v>
      </c>
      <c r="N956" s="67" t="s">
        <v>20</v>
      </c>
      <c r="O956" s="67" t="s">
        <v>89</v>
      </c>
      <c r="P956" s="59"/>
      <c r="Q956" s="59" t="s">
        <v>2123</v>
      </c>
      <c r="R956" s="76" t="s">
        <v>61</v>
      </c>
      <c r="S956" s="59"/>
      <c r="T956" s="59"/>
      <c r="U956" s="77" t="str">
        <f t="array" ref="U956">IFERROR(INDEX(DFD!$D$2:$D$1048791,MATCH($Q956,DFD!$B$2:$B$1048791,0)),"")</f>
        <v/>
      </c>
      <c r="V956" s="77" t="str">
        <f t="array" ref="V956">IFERROR(INDEX(DFD!$F$2:$F$1048791,MATCH($Q956,DFD!$B$2:$B$1048791,0)),"")</f>
        <v/>
      </c>
      <c r="W956" s="84" t="str">
        <f t="array" ref="W956">IFERROR(INDEX(DFD!$E$2:$E$1048791,MATCH($Q956,DFD!$B$2:$B$1048791,0)),"")</f>
        <v/>
      </c>
      <c r="X956" s="84" t="str">
        <f t="array" ref="X956">IFERROR(INDEX(DFD!$K$2:$K$1048791,MATCH($Q956,DFD!$B$2:$B$1048791,0)),"")</f>
        <v/>
      </c>
      <c r="Y956" s="84" t="str">
        <f t="array" ref="Y956">IFERROR(INDEX(DFD!$L$2:$L$1048790,MATCH($Q956,DFD!$B$2:$B$1048790,0)),"")</f>
        <v/>
      </c>
      <c r="Z956" s="84">
        <f t="shared" si="21"/>
        <v>45</v>
      </c>
      <c r="AA956" s="59"/>
      <c r="AB956" s="59" t="s">
        <v>78</v>
      </c>
      <c r="AC956" s="59"/>
      <c r="AD956" s="85">
        <v>46043.0</v>
      </c>
      <c r="AE956" s="86">
        <f t="shared" si="19"/>
        <v>1</v>
      </c>
    </row>
    <row r="957" ht="15.75" customHeight="1">
      <c r="A957" s="92" t="s">
        <v>2553</v>
      </c>
      <c r="B957" s="87" t="s">
        <v>107</v>
      </c>
      <c r="C957" s="88" t="s">
        <v>2554</v>
      </c>
      <c r="D957" s="88" t="s">
        <v>51</v>
      </c>
      <c r="E957" s="88">
        <v>15.0</v>
      </c>
      <c r="F957" s="89">
        <v>3750.0</v>
      </c>
      <c r="G957" s="90" t="s">
        <v>53</v>
      </c>
      <c r="H957" s="91">
        <v>46174.0</v>
      </c>
      <c r="I957" s="92" t="s">
        <v>17</v>
      </c>
      <c r="J957" s="92" t="s">
        <v>54</v>
      </c>
      <c r="K957" s="92" t="s">
        <v>66</v>
      </c>
      <c r="L957" s="92" t="s">
        <v>56</v>
      </c>
      <c r="M957" s="90" t="s">
        <v>57</v>
      </c>
      <c r="N957" s="92" t="s">
        <v>20</v>
      </c>
      <c r="O957" s="87" t="s">
        <v>69</v>
      </c>
      <c r="P957" s="87"/>
      <c r="Q957" s="87" t="s">
        <v>2123</v>
      </c>
      <c r="R957" s="93" t="s">
        <v>61</v>
      </c>
      <c r="S957" s="87"/>
      <c r="T957" s="87"/>
      <c r="U957" s="94" t="str">
        <f t="array" ref="U957">IFERROR(INDEX(DFD!$D$2:$D$1048791,MATCH($Q957,DFD!$B$2:$B$1048791,0)),"")</f>
        <v/>
      </c>
      <c r="V957" s="94" t="str">
        <f t="array" ref="V957">IFERROR(INDEX(DFD!$F$2:$F$1048791,MATCH($Q957,DFD!$B$2:$B$1048791,0)),"")</f>
        <v/>
      </c>
      <c r="W957" s="97" t="str">
        <f t="array" ref="W957">IFERROR(INDEX(DFD!$E$2:$E$1048791,MATCH($Q957,DFD!$B$2:$B$1048791,0)),"")</f>
        <v/>
      </c>
      <c r="X957" s="97" t="str">
        <f t="array" ref="X957">IFERROR(INDEX(DFD!$K$2:$K$1048791,MATCH($Q957,DFD!$B$2:$B$1048791,0)),"")</f>
        <v/>
      </c>
      <c r="Y957" s="97" t="str">
        <f t="array" ref="Y957">IFERROR(INDEX(DFD!$L$2:$L$1048790,MATCH($Q957,DFD!$B$2:$B$1048790,0)),"")</f>
        <v/>
      </c>
      <c r="Z957" s="97">
        <f t="shared" si="21"/>
        <v>45</v>
      </c>
      <c r="AA957" s="87"/>
      <c r="AB957" s="87" t="s">
        <v>78</v>
      </c>
      <c r="AC957" s="87"/>
      <c r="AD957" s="99">
        <v>46043.0</v>
      </c>
      <c r="AE957" s="100">
        <f t="shared" si="19"/>
        <v>1</v>
      </c>
    </row>
    <row r="958" ht="15.75" customHeight="1">
      <c r="A958" s="67" t="s">
        <v>2555</v>
      </c>
      <c r="B958" s="59" t="s">
        <v>184</v>
      </c>
      <c r="C958" s="81" t="s">
        <v>2556</v>
      </c>
      <c r="D958" s="60" t="s">
        <v>2557</v>
      </c>
      <c r="E958" s="60">
        <v>400.0</v>
      </c>
      <c r="F958" s="72">
        <v>40000.0</v>
      </c>
      <c r="G958" s="73" t="s">
        <v>437</v>
      </c>
      <c r="H958" s="74">
        <v>46266.0</v>
      </c>
      <c r="I958" s="67" t="s">
        <v>17</v>
      </c>
      <c r="J958" s="67" t="s">
        <v>54</v>
      </c>
      <c r="K958" s="67" t="s">
        <v>66</v>
      </c>
      <c r="L958" s="67" t="s">
        <v>67</v>
      </c>
      <c r="M958" s="73" t="s">
        <v>2558</v>
      </c>
      <c r="N958" s="67" t="s">
        <v>20</v>
      </c>
      <c r="O958" s="59" t="s">
        <v>69</v>
      </c>
      <c r="P958" s="59"/>
      <c r="Q958" s="59">
        <v>2024.0</v>
      </c>
      <c r="R958" s="76" t="s">
        <v>2559</v>
      </c>
      <c r="S958" s="59"/>
      <c r="T958" s="59"/>
      <c r="U958" s="77" t="s">
        <v>2560</v>
      </c>
      <c r="V958" s="77" t="str">
        <f t="array" ref="V958">IFERROR(INDEX(DFD!$F$2:$F$1048791,MATCH($Q958,DFD!$B$2:$B$1048791,0)),"")</f>
        <v/>
      </c>
      <c r="W958" s="84" t="str">
        <f t="array" ref="W958">IFERROR(INDEX(DFD!$E$2:$E$1048791,MATCH($Q958,DFD!$B$2:$B$1048791,0)),"")</f>
        <v/>
      </c>
      <c r="X958" s="84" t="str">
        <f t="array" ref="X958">IFERROR(INDEX(DFD!$K$2:$K$1048791,MATCH($Q958,DFD!$B$2:$B$1048791,0)),"")</f>
        <v/>
      </c>
      <c r="Y958" s="84" t="str">
        <f t="array" ref="Y958">IFERROR(INDEX(DFD!$L$2:$L$1048790,MATCH($Q958,DFD!$B$2:$B$1048790,0)),"")</f>
        <v/>
      </c>
      <c r="Z958" s="84">
        <f t="shared" si="21"/>
        <v>45</v>
      </c>
      <c r="AA958" s="59"/>
      <c r="AB958" s="59" t="s">
        <v>288</v>
      </c>
      <c r="AC958" s="59"/>
      <c r="AD958" s="85">
        <v>46043.0</v>
      </c>
      <c r="AE958" s="86">
        <f t="shared" si="19"/>
        <v>1</v>
      </c>
    </row>
    <row r="959" ht="15.75" customHeight="1">
      <c r="A959" s="87" t="s">
        <v>2561</v>
      </c>
      <c r="B959" s="87" t="s">
        <v>92</v>
      </c>
      <c r="C959" s="88" t="s">
        <v>2562</v>
      </c>
      <c r="D959" s="88" t="s">
        <v>51</v>
      </c>
      <c r="E959" s="88">
        <v>3.0</v>
      </c>
      <c r="F959" s="89">
        <v>660.0</v>
      </c>
      <c r="G959" s="90" t="s">
        <v>53</v>
      </c>
      <c r="H959" s="91">
        <v>46174.0</v>
      </c>
      <c r="I959" s="92" t="s">
        <v>17</v>
      </c>
      <c r="J959" s="92" t="s">
        <v>54</v>
      </c>
      <c r="K959" s="92" t="s">
        <v>66</v>
      </c>
      <c r="L959" s="92" t="s">
        <v>67</v>
      </c>
      <c r="M959" s="90" t="s">
        <v>132</v>
      </c>
      <c r="N959" s="92" t="s">
        <v>5</v>
      </c>
      <c r="O959" s="92" t="s">
        <v>89</v>
      </c>
      <c r="P959" s="87"/>
      <c r="Q959" s="87" t="s">
        <v>143</v>
      </c>
      <c r="R959" s="93" t="s">
        <v>71</v>
      </c>
      <c r="S959" s="87"/>
      <c r="T959" s="87"/>
      <c r="U959" s="94" t="str">
        <f t="array" ref="U959">IFERROR(INDEX(DFD!$D$2:$D$1048791,MATCH($Q959,DFD!$B$2:$B$1048791,0)),"")</f>
        <v/>
      </c>
      <c r="V959" s="94" t="str">
        <f t="array" ref="V959">IFERROR(INDEX(DFD!$F$2:$F$1048791,MATCH($Q959,DFD!$B$2:$B$1048791,0)),"")</f>
        <v/>
      </c>
      <c r="W959" s="97" t="str">
        <f t="array" ref="W959">IFERROR(INDEX(DFD!$E$2:$E$1048791,MATCH($Q959,DFD!$B$2:$B$1048791,0)),"")</f>
        <v/>
      </c>
      <c r="X959" s="97" t="str">
        <f t="array" ref="X959">IFERROR(INDEX(DFD!$K$2:$K$1048791,MATCH($Q959,DFD!$B$2:$B$1048791,0)),"")</f>
        <v/>
      </c>
      <c r="Y959" s="97" t="str">
        <f t="array" ref="Y959">IFERROR(INDEX(DFD!$L$2:$L$1048790,MATCH($Q959,DFD!$B$2:$B$1048790,0)),"")</f>
        <v/>
      </c>
      <c r="Z959" s="97">
        <f t="shared" si="21"/>
        <v>45</v>
      </c>
      <c r="AA959" s="87"/>
      <c r="AB959" s="87" t="s">
        <v>78</v>
      </c>
      <c r="AC959" s="87"/>
      <c r="AD959" s="99">
        <v>46043.0</v>
      </c>
      <c r="AE959" s="100">
        <f t="shared" si="19"/>
        <v>1</v>
      </c>
    </row>
    <row r="960" ht="15.75" customHeight="1">
      <c r="A960" s="59" t="s">
        <v>2563</v>
      </c>
      <c r="B960" s="59" t="s">
        <v>101</v>
      </c>
      <c r="C960" s="60" t="s">
        <v>2564</v>
      </c>
      <c r="D960" s="60" t="s">
        <v>51</v>
      </c>
      <c r="E960" s="60">
        <v>12.0</v>
      </c>
      <c r="F960" s="72">
        <v>2304.0</v>
      </c>
      <c r="G960" s="73" t="s">
        <v>53</v>
      </c>
      <c r="H960" s="74">
        <v>46174.0</v>
      </c>
      <c r="I960" s="67" t="s">
        <v>17</v>
      </c>
      <c r="J960" s="67" t="s">
        <v>54</v>
      </c>
      <c r="K960" s="67" t="s">
        <v>66</v>
      </c>
      <c r="L960" s="67" t="s">
        <v>56</v>
      </c>
      <c r="M960" s="73" t="s">
        <v>132</v>
      </c>
      <c r="N960" s="67" t="s">
        <v>58</v>
      </c>
      <c r="O960" s="59" t="s">
        <v>69</v>
      </c>
      <c r="P960" s="59"/>
      <c r="Q960" s="59" t="s">
        <v>143</v>
      </c>
      <c r="R960" s="76" t="s">
        <v>71</v>
      </c>
      <c r="S960" s="59"/>
      <c r="T960" s="59"/>
      <c r="U960" s="77" t="str">
        <f t="array" ref="U960">IFERROR(INDEX(DFD!$D$2:$D$1048791,MATCH($Q960,DFD!$B$2:$B$1048791,0)),"")</f>
        <v/>
      </c>
      <c r="V960" s="77" t="str">
        <f t="array" ref="V960">IFERROR(INDEX(DFD!$F$2:$F$1048791,MATCH($Q960,DFD!$B$2:$B$1048791,0)),"")</f>
        <v/>
      </c>
      <c r="W960" s="84" t="str">
        <f t="array" ref="W960">IFERROR(INDEX(DFD!$E$2:$E$1048791,MATCH($Q960,DFD!$B$2:$B$1048791,0)),"")</f>
        <v/>
      </c>
      <c r="X960" s="84" t="str">
        <f t="array" ref="X960">IFERROR(INDEX(DFD!$K$2:$K$1048791,MATCH($Q960,DFD!$B$2:$B$1048791,0)),"")</f>
        <v/>
      </c>
      <c r="Y960" s="84" t="str">
        <f t="array" ref="Y960">IFERROR(INDEX(DFD!$L$2:$L$1048790,MATCH($Q960,DFD!$B$2:$B$1048790,0)),"")</f>
        <v/>
      </c>
      <c r="Z960" s="84">
        <f t="shared" si="21"/>
        <v>45</v>
      </c>
      <c r="AA960" s="59"/>
      <c r="AB960" s="59" t="s">
        <v>78</v>
      </c>
      <c r="AC960" s="59"/>
      <c r="AD960" s="85">
        <v>46043.0</v>
      </c>
      <c r="AE960" s="86">
        <f t="shared" si="19"/>
        <v>1</v>
      </c>
    </row>
    <row r="961" ht="15.75" customHeight="1">
      <c r="A961" s="92" t="s">
        <v>2565</v>
      </c>
      <c r="B961" s="87" t="s">
        <v>184</v>
      </c>
      <c r="C961" s="88" t="s">
        <v>2566</v>
      </c>
      <c r="D961" s="88" t="s">
        <v>51</v>
      </c>
      <c r="E961" s="88">
        <v>30.0</v>
      </c>
      <c r="F961" s="89">
        <v>570.6</v>
      </c>
      <c r="G961" s="90" t="s">
        <v>53</v>
      </c>
      <c r="H961" s="91">
        <v>46174.0</v>
      </c>
      <c r="I961" s="92" t="s">
        <v>17</v>
      </c>
      <c r="J961" s="92" t="s">
        <v>54</v>
      </c>
      <c r="K961" s="92" t="s">
        <v>66</v>
      </c>
      <c r="L961" s="92" t="s">
        <v>67</v>
      </c>
      <c r="M961" s="90" t="s">
        <v>117</v>
      </c>
      <c r="N961" s="92" t="s">
        <v>20</v>
      </c>
      <c r="O961" s="87" t="s">
        <v>69</v>
      </c>
      <c r="P961" s="87"/>
      <c r="Q961" s="87" t="s">
        <v>1399</v>
      </c>
      <c r="R961" s="93" t="s">
        <v>187</v>
      </c>
      <c r="S961" s="87"/>
      <c r="T961" s="87"/>
      <c r="U961" s="94" t="str">
        <f t="array" ref="U961">IFERROR(INDEX(DFD!$D$2:$D$1048791,MATCH($Q961,DFD!$B$2:$B$1048791,0)),"")</f>
        <v/>
      </c>
      <c r="V961" s="94" t="str">
        <f t="array" ref="V961">IFERROR(INDEX(DFD!$F$2:$F$1048791,MATCH($Q961,DFD!$B$2:$B$1048791,0)),"")</f>
        <v/>
      </c>
      <c r="W961" s="97" t="str">
        <f t="array" ref="W961">IFERROR(INDEX(DFD!$E$2:$E$1048791,MATCH($Q961,DFD!$B$2:$B$1048791,0)),"")</f>
        <v/>
      </c>
      <c r="X961" s="97" t="str">
        <f t="array" ref="X961">IFERROR(INDEX(DFD!$K$2:$K$1048791,MATCH($Q961,DFD!$B$2:$B$1048791,0)),"")</f>
        <v/>
      </c>
      <c r="Y961" s="97" t="str">
        <f t="array" ref="Y961">IFERROR(INDEX(DFD!$L$2:$L$1048790,MATCH($Q961,DFD!$B$2:$B$1048790,0)),"")</f>
        <v/>
      </c>
      <c r="Z961" s="97">
        <f t="shared" si="21"/>
        <v>45</v>
      </c>
      <c r="AA961" s="87"/>
      <c r="AB961" s="87" t="s">
        <v>78</v>
      </c>
      <c r="AC961" s="87"/>
      <c r="AD961" s="99">
        <v>46043.0</v>
      </c>
      <c r="AE961" s="100">
        <f t="shared" si="19"/>
        <v>1</v>
      </c>
    </row>
    <row r="962" ht="15.75" customHeight="1">
      <c r="A962" s="67" t="s">
        <v>2567</v>
      </c>
      <c r="B962" s="59" t="s">
        <v>184</v>
      </c>
      <c r="C962" s="60" t="s">
        <v>2568</v>
      </c>
      <c r="D962" s="60" t="s">
        <v>51</v>
      </c>
      <c r="E962" s="60">
        <v>30.0</v>
      </c>
      <c r="F962" s="72">
        <v>1470.0</v>
      </c>
      <c r="G962" s="73" t="s">
        <v>53</v>
      </c>
      <c r="H962" s="74">
        <v>46174.0</v>
      </c>
      <c r="I962" s="67" t="s">
        <v>17</v>
      </c>
      <c r="J962" s="67" t="s">
        <v>54</v>
      </c>
      <c r="K962" s="67" t="s">
        <v>66</v>
      </c>
      <c r="L962" s="67" t="s">
        <v>67</v>
      </c>
      <c r="M962" s="73" t="s">
        <v>167</v>
      </c>
      <c r="N962" s="67" t="s">
        <v>20</v>
      </c>
      <c r="O962" s="67" t="s">
        <v>89</v>
      </c>
      <c r="P962" s="59"/>
      <c r="Q962" s="59" t="s">
        <v>626</v>
      </c>
      <c r="R962" s="76" t="s">
        <v>114</v>
      </c>
      <c r="S962" s="59"/>
      <c r="T962" s="59"/>
      <c r="U962" s="77" t="str">
        <f t="array" ref="U962">IFERROR(INDEX(DFD!$D$2:$D$1048791,MATCH($Q962,DFD!$B$2:$B$1048791,0)),"")</f>
        <v/>
      </c>
      <c r="V962" s="77" t="s">
        <v>280</v>
      </c>
      <c r="W962" s="84" t="str">
        <f t="array" ref="W962">IFERROR(INDEX(DFD!$E$2:$E$1048791,MATCH($Q962,DFD!$B$2:$B$1048791,0)),"")</f>
        <v/>
      </c>
      <c r="X962" s="84" t="str">
        <f t="array" ref="X962">IFERROR(INDEX(DFD!$K$2:$K$1048791,MATCH($Q962,DFD!$B$2:$B$1048791,0)),"")</f>
        <v/>
      </c>
      <c r="Y962" s="84" t="str">
        <f t="array" ref="Y962">IFERROR(INDEX(DFD!$L$2:$L$1048790,MATCH($Q962,DFD!$B$2:$B$1048790,0)),"")</f>
        <v/>
      </c>
      <c r="Z962" s="84">
        <f t="shared" si="21"/>
        <v>45</v>
      </c>
      <c r="AA962" s="59"/>
      <c r="AB962" s="59" t="s">
        <v>78</v>
      </c>
      <c r="AC962" s="59"/>
      <c r="AD962" s="85">
        <v>46043.0</v>
      </c>
      <c r="AE962" s="86">
        <f t="shared" si="19"/>
        <v>1</v>
      </c>
    </row>
    <row r="963" ht="15.75" customHeight="1">
      <c r="A963" s="92" t="s">
        <v>2569</v>
      </c>
      <c r="B963" s="87" t="s">
        <v>184</v>
      </c>
      <c r="C963" s="88" t="s">
        <v>2570</v>
      </c>
      <c r="D963" s="88" t="s">
        <v>51</v>
      </c>
      <c r="E963" s="88">
        <v>20.0</v>
      </c>
      <c r="F963" s="89">
        <v>840.0</v>
      </c>
      <c r="G963" s="90" t="s">
        <v>53</v>
      </c>
      <c r="H963" s="91">
        <v>46174.0</v>
      </c>
      <c r="I963" s="92" t="s">
        <v>17</v>
      </c>
      <c r="J963" s="92" t="s">
        <v>54</v>
      </c>
      <c r="K963" s="92" t="s">
        <v>66</v>
      </c>
      <c r="L963" s="92" t="s">
        <v>67</v>
      </c>
      <c r="M963" s="90" t="s">
        <v>167</v>
      </c>
      <c r="N963" s="92" t="s">
        <v>20</v>
      </c>
      <c r="O963" s="87" t="s">
        <v>69</v>
      </c>
      <c r="P963" s="87"/>
      <c r="Q963" s="87" t="s">
        <v>626</v>
      </c>
      <c r="R963" s="93" t="s">
        <v>114</v>
      </c>
      <c r="S963" s="87"/>
      <c r="T963" s="87"/>
      <c r="U963" s="94" t="str">
        <f t="array" ref="U963">IFERROR(INDEX(DFD!$D$2:$D$1048791,MATCH($Q963,DFD!$B$2:$B$1048791,0)),"")</f>
        <v/>
      </c>
      <c r="V963" s="94" t="s">
        <v>280</v>
      </c>
      <c r="W963" s="97" t="str">
        <f t="array" ref="W963">IFERROR(INDEX(DFD!$E$2:$E$1048791,MATCH($Q963,DFD!$B$2:$B$1048791,0)),"")</f>
        <v/>
      </c>
      <c r="X963" s="97" t="str">
        <f t="array" ref="X963">IFERROR(INDEX(DFD!$K$2:$K$1048791,MATCH($Q963,DFD!$B$2:$B$1048791,0)),"")</f>
        <v/>
      </c>
      <c r="Y963" s="97" t="str">
        <f t="array" ref="Y963">IFERROR(INDEX(DFD!$L$2:$L$1048790,MATCH($Q963,DFD!$B$2:$B$1048790,0)),"")</f>
        <v/>
      </c>
      <c r="Z963" s="97">
        <f t="shared" si="21"/>
        <v>45</v>
      </c>
      <c r="AA963" s="87"/>
      <c r="AB963" s="87" t="s">
        <v>78</v>
      </c>
      <c r="AC963" s="87"/>
      <c r="AD963" s="99">
        <v>46043.0</v>
      </c>
      <c r="AE963" s="100">
        <f t="shared" si="19"/>
        <v>1</v>
      </c>
    </row>
    <row r="964" ht="15.75" customHeight="1">
      <c r="A964" s="67" t="s">
        <v>2571</v>
      </c>
      <c r="B964" s="59" t="s">
        <v>184</v>
      </c>
      <c r="C964" s="60" t="s">
        <v>2572</v>
      </c>
      <c r="D964" s="60" t="s">
        <v>51</v>
      </c>
      <c r="E964" s="60">
        <v>70.0</v>
      </c>
      <c r="F964" s="72">
        <v>14000.0</v>
      </c>
      <c r="G964" s="73" t="s">
        <v>53</v>
      </c>
      <c r="H964" s="74">
        <v>46235.0</v>
      </c>
      <c r="I964" s="67" t="s">
        <v>17</v>
      </c>
      <c r="J964" s="67" t="s">
        <v>54</v>
      </c>
      <c r="K964" s="67" t="s">
        <v>66</v>
      </c>
      <c r="L964" s="67" t="s">
        <v>67</v>
      </c>
      <c r="M964" s="73" t="s">
        <v>68</v>
      </c>
      <c r="N964" s="67" t="s">
        <v>20</v>
      </c>
      <c r="O964" s="59" t="s">
        <v>69</v>
      </c>
      <c r="P964" s="59"/>
      <c r="Q964" s="59" t="s">
        <v>1893</v>
      </c>
      <c r="R964" s="76" t="s">
        <v>616</v>
      </c>
      <c r="S964" s="59"/>
      <c r="T964" s="59"/>
      <c r="U964" s="77" t="str">
        <f t="array" ref="U964">IFERROR(INDEX(DFD!$D$2:$D$1048791,MATCH($Q964,DFD!$B$2:$B$1048791,0)),"")</f>
        <v/>
      </c>
      <c r="V964" s="77" t="str">
        <f t="array" ref="V964">IFERROR(INDEX(DFD!$F$2:$F$1048791,MATCH($Q964,DFD!$B$2:$B$1048791,0)),"")</f>
        <v/>
      </c>
      <c r="W964" s="84" t="str">
        <f t="array" ref="W964">IFERROR(INDEX(DFD!$E$2:$E$1048791,MATCH($Q964,DFD!$B$2:$B$1048791,0)),"")</f>
        <v/>
      </c>
      <c r="X964" s="84" t="str">
        <f t="array" ref="X964">IFERROR(INDEX(DFD!$K$2:$K$1048791,MATCH($Q964,DFD!$B$2:$B$1048791,0)),"")</f>
        <v/>
      </c>
      <c r="Y964" s="84" t="str">
        <f t="array" ref="Y964">IFERROR(INDEX(DFD!$L$2:$L$1048790,MATCH($Q964,DFD!$B$2:$B$1048790,0)),"")</f>
        <v/>
      </c>
      <c r="Z964" s="84">
        <f t="shared" si="21"/>
        <v>45</v>
      </c>
      <c r="AA964" s="59"/>
      <c r="AB964" s="59" t="s">
        <v>78</v>
      </c>
      <c r="AC964" s="59"/>
      <c r="AD964" s="85">
        <v>46043.0</v>
      </c>
      <c r="AE964" s="86">
        <f t="shared" si="19"/>
        <v>1</v>
      </c>
    </row>
    <row r="965" ht="15.75" customHeight="1">
      <c r="A965" s="92" t="s">
        <v>2573</v>
      </c>
      <c r="B965" s="87" t="s">
        <v>427</v>
      </c>
      <c r="C965" s="88" t="s">
        <v>2574</v>
      </c>
      <c r="D965" s="88" t="s">
        <v>51</v>
      </c>
      <c r="E965" s="88">
        <v>1.0</v>
      </c>
      <c r="F965" s="89">
        <v>400000.0</v>
      </c>
      <c r="G965" s="90" t="s">
        <v>53</v>
      </c>
      <c r="H965" s="91">
        <v>46266.0</v>
      </c>
      <c r="I965" s="92" t="s">
        <v>18</v>
      </c>
      <c r="J965" s="92" t="s">
        <v>54</v>
      </c>
      <c r="K965" s="92" t="s">
        <v>429</v>
      </c>
      <c r="L965" s="92" t="s">
        <v>197</v>
      </c>
      <c r="M965" s="90" t="s">
        <v>68</v>
      </c>
      <c r="N965" s="92" t="s">
        <v>20</v>
      </c>
      <c r="O965" s="92" t="s">
        <v>89</v>
      </c>
      <c r="P965" s="87"/>
      <c r="Q965" s="87">
        <v>2025.0</v>
      </c>
      <c r="R965" s="93" t="s">
        <v>154</v>
      </c>
      <c r="S965" s="87"/>
      <c r="T965" s="87"/>
      <c r="U965" s="92" t="s">
        <v>2575</v>
      </c>
      <c r="V965" s="92" t="s">
        <v>1272</v>
      </c>
      <c r="W965" s="97" t="str">
        <f t="array" ref="W965">IFERROR(INDEX(DFD!$E$2:$E$1048791,MATCH($Q965,DFD!$B$2:$B$1048791,0)),"")</f>
        <v/>
      </c>
      <c r="X965" s="97" t="str">
        <f t="array" ref="X965">IFERROR(INDEX(DFD!$K$2:$K$1048791,MATCH($Q965,DFD!$B$2:$B$1048791,0)),"")</f>
        <v/>
      </c>
      <c r="Y965" s="97" t="str">
        <f t="array" ref="Y965">IFERROR(INDEX(DFD!$L$2:$L$1048790,MATCH($Q965,DFD!$B$2:$B$1048790,0)),"")</f>
        <v/>
      </c>
      <c r="Z965" s="97">
        <f t="shared" si="21"/>
        <v>45</v>
      </c>
      <c r="AA965" s="88" t="s">
        <v>2277</v>
      </c>
      <c r="AB965" s="87" t="s">
        <v>78</v>
      </c>
      <c r="AC965" s="87"/>
      <c r="AD965" s="99">
        <v>46043.0</v>
      </c>
      <c r="AE965" s="100">
        <f t="shared" si="19"/>
        <v>1</v>
      </c>
    </row>
    <row r="966" ht="15.75" customHeight="1">
      <c r="A966" s="67" t="s">
        <v>2576</v>
      </c>
      <c r="B966" s="59" t="s">
        <v>427</v>
      </c>
      <c r="C966" s="60" t="s">
        <v>2577</v>
      </c>
      <c r="D966" s="60" t="s">
        <v>51</v>
      </c>
      <c r="E966" s="60">
        <v>1.0</v>
      </c>
      <c r="F966" s="72">
        <v>400000.0</v>
      </c>
      <c r="G966" s="73" t="s">
        <v>53</v>
      </c>
      <c r="H966" s="83">
        <v>46266.0</v>
      </c>
      <c r="I966" s="67" t="s">
        <v>18</v>
      </c>
      <c r="J966" s="67" t="s">
        <v>54</v>
      </c>
      <c r="K966" s="67" t="s">
        <v>429</v>
      </c>
      <c r="L966" s="67" t="s">
        <v>197</v>
      </c>
      <c r="M966" s="73" t="s">
        <v>117</v>
      </c>
      <c r="N966" s="67" t="s">
        <v>20</v>
      </c>
      <c r="O966" s="59" t="s">
        <v>69</v>
      </c>
      <c r="P966" s="59"/>
      <c r="Q966" s="59" t="s">
        <v>2578</v>
      </c>
      <c r="R966" s="76" t="s">
        <v>154</v>
      </c>
      <c r="S966" s="59"/>
      <c r="T966" s="59"/>
      <c r="U966" s="77" t="str">
        <f t="array" ref="U966">IFERROR(INDEX(DFD!$D$2:$D$1048791,MATCH($Q966,DFD!$B$2:$B$1048791,0)),"")</f>
        <v/>
      </c>
      <c r="V966" s="77" t="s">
        <v>1272</v>
      </c>
      <c r="W966" s="84" t="str">
        <f t="array" ref="W966">IFERROR(INDEX(DFD!$E$2:$E$1048791,MATCH($Q966,DFD!$B$2:$B$1048791,0)),"")</f>
        <v/>
      </c>
      <c r="X966" s="84" t="str">
        <f t="array" ref="X966">IFERROR(INDEX(DFD!$K$2:$K$1048791,MATCH($Q966,DFD!$B$2:$B$1048791,0)),"")</f>
        <v/>
      </c>
      <c r="Y966" s="84" t="str">
        <f t="array" ref="Y966">IFERROR(INDEX(DFD!$L$2:$L$1048790,MATCH($Q966,DFD!$B$2:$B$1048790,0)),"")</f>
        <v/>
      </c>
      <c r="Z966" s="84">
        <f t="shared" si="21"/>
        <v>45</v>
      </c>
      <c r="AA966" s="59"/>
      <c r="AB966" s="59" t="s">
        <v>78</v>
      </c>
      <c r="AC966" s="59"/>
      <c r="AD966" s="85">
        <v>46043.0</v>
      </c>
      <c r="AE966" s="86">
        <f t="shared" si="19"/>
        <v>1</v>
      </c>
    </row>
    <row r="967" ht="15.75" customHeight="1">
      <c r="A967" s="92" t="s">
        <v>2579</v>
      </c>
      <c r="B967" s="87" t="s">
        <v>427</v>
      </c>
      <c r="C967" s="88" t="s">
        <v>2580</v>
      </c>
      <c r="D967" s="88" t="s">
        <v>51</v>
      </c>
      <c r="E967" s="88">
        <v>1.0</v>
      </c>
      <c r="F967" s="89">
        <v>400000.0</v>
      </c>
      <c r="G967" s="90" t="s">
        <v>53</v>
      </c>
      <c r="H967" s="91">
        <v>46266.0</v>
      </c>
      <c r="I967" s="92" t="s">
        <v>18</v>
      </c>
      <c r="J967" s="92" t="s">
        <v>54</v>
      </c>
      <c r="K967" s="92" t="s">
        <v>429</v>
      </c>
      <c r="L967" s="92" t="s">
        <v>197</v>
      </c>
      <c r="M967" s="90" t="s">
        <v>68</v>
      </c>
      <c r="N967" s="92" t="s">
        <v>20</v>
      </c>
      <c r="O967" s="87" t="s">
        <v>69</v>
      </c>
      <c r="P967" s="87"/>
      <c r="Q967" s="87">
        <v>2025.0</v>
      </c>
      <c r="R967" s="93" t="s">
        <v>154</v>
      </c>
      <c r="S967" s="87"/>
      <c r="T967" s="87"/>
      <c r="U967" s="92" t="s">
        <v>2581</v>
      </c>
      <c r="V967" s="92" t="s">
        <v>1272</v>
      </c>
      <c r="W967" s="97" t="str">
        <f t="array" ref="W967">IFERROR(INDEX(DFD!$E$2:$E$1048791,MATCH($Q967,DFD!$B$2:$B$1048791,0)),"")</f>
        <v/>
      </c>
      <c r="X967" s="97" t="str">
        <f t="array" ref="X967">IFERROR(INDEX(DFD!$K$2:$K$1048791,MATCH($Q967,DFD!$B$2:$B$1048791,0)),"")</f>
        <v/>
      </c>
      <c r="Y967" s="97" t="str">
        <f t="array" ref="Y967">IFERROR(INDEX(DFD!$L$2:$L$1048790,MATCH($Q967,DFD!$B$2:$B$1048790,0)),"")</f>
        <v/>
      </c>
      <c r="Z967" s="97">
        <f t="shared" si="21"/>
        <v>45</v>
      </c>
      <c r="AA967" s="88" t="s">
        <v>2277</v>
      </c>
      <c r="AB967" s="87" t="s">
        <v>78</v>
      </c>
      <c r="AC967" s="87"/>
      <c r="AD967" s="99">
        <v>46043.0</v>
      </c>
      <c r="AE967" s="100">
        <f t="shared" si="19"/>
        <v>1</v>
      </c>
    </row>
    <row r="968" ht="15.75" customHeight="1">
      <c r="A968" s="67" t="s">
        <v>2582</v>
      </c>
      <c r="B968" s="59" t="s">
        <v>427</v>
      </c>
      <c r="C968" s="60" t="s">
        <v>2583</v>
      </c>
      <c r="D968" s="60" t="s">
        <v>51</v>
      </c>
      <c r="E968" s="60">
        <v>1.0</v>
      </c>
      <c r="F968" s="72">
        <v>400000.0</v>
      </c>
      <c r="G968" s="73" t="s">
        <v>53</v>
      </c>
      <c r="H968" s="74">
        <v>46266.0</v>
      </c>
      <c r="I968" s="67" t="s">
        <v>18</v>
      </c>
      <c r="J968" s="67" t="s">
        <v>54</v>
      </c>
      <c r="K968" s="67" t="s">
        <v>429</v>
      </c>
      <c r="L968" s="67" t="s">
        <v>197</v>
      </c>
      <c r="M968" s="73" t="s">
        <v>104</v>
      </c>
      <c r="N968" s="67" t="s">
        <v>20</v>
      </c>
      <c r="O968" s="67" t="s">
        <v>89</v>
      </c>
      <c r="P968" s="59"/>
      <c r="Q968" s="59">
        <v>2025.0</v>
      </c>
      <c r="R968" s="76" t="s">
        <v>154</v>
      </c>
      <c r="S968" s="59"/>
      <c r="T968" s="59"/>
      <c r="U968" s="67" t="s">
        <v>2584</v>
      </c>
      <c r="V968" s="67" t="s">
        <v>1272</v>
      </c>
      <c r="W968" s="84" t="str">
        <f t="array" ref="W968">IFERROR(INDEX(DFD!$E$2:$E$1048791,MATCH($Q968,DFD!$B$2:$B$1048791,0)),"")</f>
        <v/>
      </c>
      <c r="X968" s="84" t="str">
        <f t="array" ref="X968">IFERROR(INDEX(DFD!$K$2:$K$1048791,MATCH($Q968,DFD!$B$2:$B$1048791,0)),"")</f>
        <v/>
      </c>
      <c r="Y968" s="84" t="str">
        <f t="array" ref="Y968">IFERROR(INDEX(DFD!$L$2:$L$1048790,MATCH($Q968,DFD!$B$2:$B$1048790,0)),"")</f>
        <v/>
      </c>
      <c r="Z968" s="84">
        <f t="shared" si="21"/>
        <v>45</v>
      </c>
      <c r="AA968" s="60" t="s">
        <v>2277</v>
      </c>
      <c r="AB968" s="59" t="s">
        <v>78</v>
      </c>
      <c r="AC968" s="59"/>
      <c r="AD968" s="85">
        <v>46043.0</v>
      </c>
      <c r="AE968" s="86">
        <f t="shared" si="19"/>
        <v>1</v>
      </c>
    </row>
    <row r="969" ht="15.75" customHeight="1">
      <c r="A969" s="92" t="s">
        <v>2585</v>
      </c>
      <c r="B969" s="87" t="s">
        <v>101</v>
      </c>
      <c r="C969" s="88" t="s">
        <v>2586</v>
      </c>
      <c r="D969" s="88" t="s">
        <v>51</v>
      </c>
      <c r="E969" s="88">
        <v>4.0</v>
      </c>
      <c r="F969" s="89">
        <v>210000.0</v>
      </c>
      <c r="G969" s="90" t="s">
        <v>53</v>
      </c>
      <c r="H969" s="91">
        <v>46266.0</v>
      </c>
      <c r="I969" s="92" t="s">
        <v>17</v>
      </c>
      <c r="J969" s="92" t="s">
        <v>54</v>
      </c>
      <c r="K969" s="92" t="s">
        <v>55</v>
      </c>
      <c r="L969" s="92" t="s">
        <v>56</v>
      </c>
      <c r="M969" s="90" t="s">
        <v>68</v>
      </c>
      <c r="N969" s="92" t="s">
        <v>20</v>
      </c>
      <c r="O969" s="87" t="s">
        <v>69</v>
      </c>
      <c r="P969" s="87"/>
      <c r="Q969" s="87" t="s">
        <v>2587</v>
      </c>
      <c r="R969" s="93" t="s">
        <v>718</v>
      </c>
      <c r="S969" s="87"/>
      <c r="T969" s="87"/>
      <c r="U969" s="94" t="str">
        <f t="array" ref="U969">IFERROR(INDEX(DFD!$D$2:$D$1048791,MATCH($Q969,DFD!$B$2:$B$1048791,0)),"")</f>
        <v/>
      </c>
      <c r="V969" s="94" t="str">
        <f t="array" ref="V969">IFERROR(INDEX(DFD!$F$2:$F$1048791,MATCH($Q969,DFD!$B$2:$B$1048791,0)),"")</f>
        <v/>
      </c>
      <c r="W969" s="97" t="str">
        <f t="array" ref="W969">IFERROR(INDEX(DFD!$E$2:$E$1048791,MATCH($Q969,DFD!$B$2:$B$1048791,0)),"")</f>
        <v/>
      </c>
      <c r="X969" s="97" t="str">
        <f t="array" ref="X969">IFERROR(INDEX(DFD!$K$2:$K$1048791,MATCH($Q969,DFD!$B$2:$B$1048791,0)),"")</f>
        <v/>
      </c>
      <c r="Y969" s="97" t="str">
        <f t="array" ref="Y969">IFERROR(INDEX(DFD!$L$2:$L$1048790,MATCH($Q969,DFD!$B$2:$B$1048790,0)),"")</f>
        <v/>
      </c>
      <c r="Z969" s="97">
        <f t="shared" si="21"/>
        <v>45</v>
      </c>
      <c r="AA969" s="87"/>
      <c r="AB969" s="87" t="s">
        <v>78</v>
      </c>
      <c r="AC969" s="87"/>
      <c r="AD969" s="99">
        <v>46043.0</v>
      </c>
      <c r="AE969" s="100">
        <f t="shared" si="19"/>
        <v>1</v>
      </c>
    </row>
    <row r="970" ht="15.75" customHeight="1">
      <c r="A970" s="67" t="s">
        <v>2588</v>
      </c>
      <c r="B970" s="59" t="s">
        <v>1562</v>
      </c>
      <c r="C970" s="81" t="s">
        <v>2589</v>
      </c>
      <c r="D970" s="60" t="s">
        <v>51</v>
      </c>
      <c r="E970" s="60">
        <v>13.0</v>
      </c>
      <c r="F970" s="72">
        <v>80000.0</v>
      </c>
      <c r="G970" s="73" t="s">
        <v>53</v>
      </c>
      <c r="H970" s="74">
        <v>46266.0</v>
      </c>
      <c r="I970" s="67" t="s">
        <v>17</v>
      </c>
      <c r="J970" s="67" t="s">
        <v>54</v>
      </c>
      <c r="K970" s="67" t="s">
        <v>55</v>
      </c>
      <c r="L970" s="67" t="s">
        <v>56</v>
      </c>
      <c r="M970" s="73" t="s">
        <v>1564</v>
      </c>
      <c r="N970" s="67" t="s">
        <v>20</v>
      </c>
      <c r="O970" s="59" t="s">
        <v>69</v>
      </c>
      <c r="P970" s="59"/>
      <c r="Q970" s="59" t="s">
        <v>1565</v>
      </c>
      <c r="R970" s="76" t="s">
        <v>1566</v>
      </c>
      <c r="S970" s="59"/>
      <c r="T970" s="59"/>
      <c r="U970" s="77" t="str">
        <f t="array" ref="U970">IFERROR(INDEX(DFD!$D$2:$D$1048791,MATCH($Q970,DFD!$B$2:$B$1048791,0)),"")</f>
        <v/>
      </c>
      <c r="V970" s="77" t="str">
        <f t="array" ref="V970">IFERROR(INDEX(DFD!$F$2:$F$1048791,MATCH($Q970,DFD!$B$2:$B$1048791,0)),"")</f>
        <v/>
      </c>
      <c r="W970" s="84" t="str">
        <f t="array" ref="W970">IFERROR(INDEX(DFD!$E$2:$E$1048791,MATCH($Q970,DFD!$B$2:$B$1048791,0)),"")</f>
        <v/>
      </c>
      <c r="X970" s="84" t="str">
        <f t="array" ref="X970">IFERROR(INDEX(DFD!$K$2:$K$1048791,MATCH($Q970,DFD!$B$2:$B$1048791,0)),"")</f>
        <v/>
      </c>
      <c r="Y970" s="84" t="str">
        <f t="array" ref="Y970">IFERROR(INDEX(DFD!$L$2:$L$1048790,MATCH($Q970,DFD!$B$2:$B$1048790,0)),"")</f>
        <v/>
      </c>
      <c r="Z970" s="84">
        <f t="shared" si="21"/>
        <v>45</v>
      </c>
      <c r="AA970" s="59"/>
      <c r="AB970" s="59" t="s">
        <v>288</v>
      </c>
      <c r="AC970" s="59"/>
      <c r="AD970" s="85">
        <v>46043.0</v>
      </c>
      <c r="AE970" s="86">
        <f t="shared" si="19"/>
        <v>1</v>
      </c>
    </row>
    <row r="971" ht="15.75" customHeight="1">
      <c r="A971" s="92" t="s">
        <v>2590</v>
      </c>
      <c r="B971" s="87" t="s">
        <v>184</v>
      </c>
      <c r="C971" s="88" t="s">
        <v>2591</v>
      </c>
      <c r="D971" s="88" t="s">
        <v>51</v>
      </c>
      <c r="E971" s="88">
        <v>10.0</v>
      </c>
      <c r="F971" s="89">
        <v>38.0</v>
      </c>
      <c r="G971" s="90" t="s">
        <v>53</v>
      </c>
      <c r="H971" s="91">
        <v>46143.0</v>
      </c>
      <c r="I971" s="92" t="s">
        <v>17</v>
      </c>
      <c r="J971" s="92" t="s">
        <v>54</v>
      </c>
      <c r="K971" s="92" t="s">
        <v>66</v>
      </c>
      <c r="L971" s="92" t="s">
        <v>67</v>
      </c>
      <c r="M971" s="90" t="s">
        <v>57</v>
      </c>
      <c r="N971" s="92" t="s">
        <v>20</v>
      </c>
      <c r="O971" s="92" t="s">
        <v>89</v>
      </c>
      <c r="P971" s="87"/>
      <c r="Q971" s="87" t="s">
        <v>286</v>
      </c>
      <c r="R971" s="93" t="s">
        <v>287</v>
      </c>
      <c r="S971" s="87"/>
      <c r="T971" s="87"/>
      <c r="U971" s="94" t="str">
        <f t="array" ref="U971">IFERROR(INDEX(DFD!$D$2:$D$1048791,MATCH($Q971,DFD!$B$2:$B$1048791,0)),"")</f>
        <v/>
      </c>
      <c r="V971" s="94" t="str">
        <f t="array" ref="V971">IFERROR(INDEX(DFD!$F$2:$F$1048791,MATCH($Q971,DFD!$B$2:$B$1048791,0)),"")</f>
        <v/>
      </c>
      <c r="W971" s="97" t="str">
        <f t="array" ref="W971">IFERROR(INDEX(DFD!$E$2:$E$1048791,MATCH($Q971,DFD!$B$2:$B$1048791,0)),"")</f>
        <v/>
      </c>
      <c r="X971" s="97" t="str">
        <f t="array" ref="X971">IFERROR(INDEX(DFD!$K$2:$K$1048791,MATCH($Q971,DFD!$B$2:$B$1048791,0)),"")</f>
        <v/>
      </c>
      <c r="Y971" s="97" t="str">
        <f t="array" ref="Y971">IFERROR(INDEX(DFD!$L$2:$L$1048790,MATCH($Q971,DFD!$B$2:$B$1048790,0)),"")</f>
        <v/>
      </c>
      <c r="Z971" s="97">
        <f t="shared" si="21"/>
        <v>45</v>
      </c>
      <c r="AA971" s="87"/>
      <c r="AB971" s="87" t="s">
        <v>288</v>
      </c>
      <c r="AC971" s="87"/>
      <c r="AD971" s="99">
        <v>46043.0</v>
      </c>
      <c r="AE971" s="100">
        <f t="shared" si="19"/>
        <v>1</v>
      </c>
    </row>
    <row r="972" ht="15.75" customHeight="1">
      <c r="A972" s="59" t="s">
        <v>2592</v>
      </c>
      <c r="B972" s="59" t="s">
        <v>92</v>
      </c>
      <c r="C972" s="60" t="s">
        <v>2593</v>
      </c>
      <c r="D972" s="60" t="s">
        <v>51</v>
      </c>
      <c r="E972" s="60">
        <v>6.0</v>
      </c>
      <c r="F972" s="72">
        <v>420.0</v>
      </c>
      <c r="G972" s="73" t="s">
        <v>53</v>
      </c>
      <c r="H972" s="74">
        <v>46174.0</v>
      </c>
      <c r="I972" s="67" t="s">
        <v>17</v>
      </c>
      <c r="J972" s="67" t="s">
        <v>54</v>
      </c>
      <c r="K972" s="67" t="s">
        <v>66</v>
      </c>
      <c r="L972" s="67" t="s">
        <v>67</v>
      </c>
      <c r="M972" s="73" t="s">
        <v>167</v>
      </c>
      <c r="N972" s="67" t="s">
        <v>58</v>
      </c>
      <c r="O972" s="59" t="s">
        <v>69</v>
      </c>
      <c r="P972" s="59"/>
      <c r="Q972" s="59" t="s">
        <v>1501</v>
      </c>
      <c r="R972" s="76" t="s">
        <v>71</v>
      </c>
      <c r="S972" s="59"/>
      <c r="T972" s="59"/>
      <c r="U972" s="77" t="str">
        <f t="array" ref="U972">IFERROR(INDEX(DFD!$D$2:$D$1048791,MATCH($Q972,DFD!$B$2:$B$1048791,0)),"")</f>
        <v/>
      </c>
      <c r="V972" s="77" t="s">
        <v>62</v>
      </c>
      <c r="W972" s="84" t="str">
        <f t="array" ref="W972">IFERROR(INDEX(DFD!$E$2:$E$1048791,MATCH($Q972,DFD!$B$2:$B$1048791,0)),"")</f>
        <v/>
      </c>
      <c r="X972" s="84" t="str">
        <f t="array" ref="X972">IFERROR(INDEX(DFD!$K$2:$K$1048791,MATCH($Q972,DFD!$B$2:$B$1048791,0)),"")</f>
        <v/>
      </c>
      <c r="Y972" s="84" t="str">
        <f t="array" ref="Y972">IFERROR(INDEX(DFD!$L$2:$L$1048790,MATCH($Q972,DFD!$B$2:$B$1048790,0)),"")</f>
        <v/>
      </c>
      <c r="Z972" s="84">
        <f t="shared" si="21"/>
        <v>45</v>
      </c>
      <c r="AA972" s="59"/>
      <c r="AB972" s="59" t="s">
        <v>78</v>
      </c>
      <c r="AC972" s="59"/>
      <c r="AD972" s="85">
        <v>46043.0</v>
      </c>
      <c r="AE972" s="86">
        <f t="shared" si="19"/>
        <v>1</v>
      </c>
    </row>
    <row r="973" ht="15.75" customHeight="1">
      <c r="A973" s="87" t="s">
        <v>2594</v>
      </c>
      <c r="B973" s="87" t="s">
        <v>355</v>
      </c>
      <c r="C973" s="88" t="s">
        <v>2595</v>
      </c>
      <c r="D973" s="88" t="s">
        <v>51</v>
      </c>
      <c r="E973" s="88">
        <v>20.0</v>
      </c>
      <c r="F973" s="89">
        <v>2400.0</v>
      </c>
      <c r="G973" s="90" t="s">
        <v>53</v>
      </c>
      <c r="H973" s="91">
        <v>46174.0</v>
      </c>
      <c r="I973" s="92" t="s">
        <v>17</v>
      </c>
      <c r="J973" s="92" t="s">
        <v>54</v>
      </c>
      <c r="K973" s="92" t="s">
        <v>66</v>
      </c>
      <c r="L973" s="92" t="s">
        <v>56</v>
      </c>
      <c r="M973" s="90" t="s">
        <v>112</v>
      </c>
      <c r="N973" s="92" t="s">
        <v>58</v>
      </c>
      <c r="O973" s="87" t="s">
        <v>69</v>
      </c>
      <c r="P973" s="87"/>
      <c r="Q973" s="87" t="s">
        <v>52</v>
      </c>
      <c r="R973" s="93" t="s">
        <v>71</v>
      </c>
      <c r="S973" s="87"/>
      <c r="T973" s="87"/>
      <c r="U973" s="94" t="str">
        <f t="array" ref="U973">IFERROR(INDEX(DFD!$D$2:$D$1048791,MATCH($Q973,DFD!$B$2:$B$1048791,0)),"")</f>
        <v/>
      </c>
      <c r="V973" s="94" t="str">
        <f t="array" ref="V973">IFERROR(INDEX(DFD!$F$2:$F$1048791,MATCH($Q973,DFD!$B$2:$B$1048791,0)),"")</f>
        <v/>
      </c>
      <c r="W973" s="97" t="str">
        <f t="array" ref="W973">IFERROR(INDEX(DFD!$E$2:$E$1048791,MATCH($Q973,DFD!$B$2:$B$1048791,0)),"")</f>
        <v/>
      </c>
      <c r="X973" s="97" t="str">
        <f t="array" ref="X973">IFERROR(INDEX(DFD!$K$2:$K$1048791,MATCH($Q973,DFD!$B$2:$B$1048791,0)),"")</f>
        <v/>
      </c>
      <c r="Y973" s="97" t="str">
        <f t="array" ref="Y973">IFERROR(INDEX(DFD!$L$2:$L$1048790,MATCH($Q973,DFD!$B$2:$B$1048790,0)),"")</f>
        <v/>
      </c>
      <c r="Z973" s="97">
        <f t="shared" si="21"/>
        <v>45</v>
      </c>
      <c r="AA973" s="87"/>
      <c r="AB973" s="87" t="s">
        <v>72</v>
      </c>
      <c r="AC973" s="87"/>
      <c r="AD973" s="99">
        <v>46043.0</v>
      </c>
      <c r="AE973" s="100">
        <f t="shared" si="19"/>
        <v>1</v>
      </c>
    </row>
    <row r="974" ht="15.75" customHeight="1">
      <c r="A974" s="59" t="s">
        <v>2596</v>
      </c>
      <c r="B974" s="67" t="s">
        <v>355</v>
      </c>
      <c r="C974" s="60" t="s">
        <v>2595</v>
      </c>
      <c r="D974" s="81" t="s">
        <v>51</v>
      </c>
      <c r="E974" s="81">
        <v>20.0</v>
      </c>
      <c r="F974" s="101">
        <v>2400.0</v>
      </c>
      <c r="G974" s="73" t="s">
        <v>53</v>
      </c>
      <c r="H974" s="83">
        <v>46174.0</v>
      </c>
      <c r="I974" s="67" t="s">
        <v>17</v>
      </c>
      <c r="J974" s="67" t="s">
        <v>54</v>
      </c>
      <c r="K974" s="67" t="s">
        <v>66</v>
      </c>
      <c r="L974" s="67" t="s">
        <v>56</v>
      </c>
      <c r="M974" s="73" t="s">
        <v>112</v>
      </c>
      <c r="N974" s="67" t="s">
        <v>58</v>
      </c>
      <c r="O974" s="67" t="s">
        <v>89</v>
      </c>
      <c r="P974" s="59"/>
      <c r="Q974" s="59" t="s">
        <v>52</v>
      </c>
      <c r="R974" s="76" t="s">
        <v>71</v>
      </c>
      <c r="S974" s="59"/>
      <c r="T974" s="59"/>
      <c r="U974" s="77" t="str">
        <f t="array" ref="U974">IFERROR(INDEX(DFD!$D$2:$D$1048791,MATCH($Q974,DFD!$B$2:$B$1048791,0)),"")</f>
        <v/>
      </c>
      <c r="V974" s="77" t="str">
        <f t="array" ref="V974">IFERROR(INDEX(DFD!$F$2:$F$1048791,MATCH($Q974,DFD!$B$2:$B$1048791,0)),"")</f>
        <v/>
      </c>
      <c r="W974" s="84" t="str">
        <f t="array" ref="W974">IFERROR(INDEX(DFD!$E$2:$E$1048791,MATCH($Q974,DFD!$B$2:$B$1048791,0)),"")</f>
        <v/>
      </c>
      <c r="X974" s="84" t="str">
        <f t="array" ref="X974">IFERROR(INDEX(DFD!$K$2:$K$1048791,MATCH($Q974,DFD!$B$2:$B$1048791,0)),"")</f>
        <v/>
      </c>
      <c r="Y974" s="84" t="str">
        <f t="array" ref="Y974">IFERROR(INDEX(DFD!$L$2:$L$1048790,MATCH($Q974,DFD!$B$2:$B$1048790,0)),"")</f>
        <v/>
      </c>
      <c r="Z974" s="84">
        <f t="shared" si="21"/>
        <v>45</v>
      </c>
      <c r="AA974" s="59"/>
      <c r="AB974" s="59" t="s">
        <v>72</v>
      </c>
      <c r="AC974" s="59"/>
      <c r="AD974" s="85">
        <v>46043.0</v>
      </c>
      <c r="AE974" s="86">
        <f t="shared" si="19"/>
        <v>1</v>
      </c>
    </row>
    <row r="975" ht="15.75" customHeight="1">
      <c r="A975" s="92" t="s">
        <v>2597</v>
      </c>
      <c r="B975" s="87" t="s">
        <v>184</v>
      </c>
      <c r="C975" s="88" t="s">
        <v>2598</v>
      </c>
      <c r="D975" s="88" t="s">
        <v>51</v>
      </c>
      <c r="E975" s="88">
        <v>60.0</v>
      </c>
      <c r="F975" s="89">
        <v>6953.4</v>
      </c>
      <c r="G975" s="90" t="s">
        <v>53</v>
      </c>
      <c r="H975" s="91">
        <v>46204.0</v>
      </c>
      <c r="I975" s="92" t="s">
        <v>17</v>
      </c>
      <c r="J975" s="92" t="s">
        <v>54</v>
      </c>
      <c r="K975" s="92" t="s">
        <v>66</v>
      </c>
      <c r="L975" s="92" t="s">
        <v>67</v>
      </c>
      <c r="M975" s="90" t="s">
        <v>104</v>
      </c>
      <c r="N975" s="92" t="s">
        <v>20</v>
      </c>
      <c r="O975" s="87" t="s">
        <v>69</v>
      </c>
      <c r="P975" s="87"/>
      <c r="Q975" s="87" t="s">
        <v>113</v>
      </c>
      <c r="R975" s="93" t="s">
        <v>503</v>
      </c>
      <c r="S975" s="87"/>
      <c r="T975" s="87"/>
      <c r="U975" s="94" t="str">
        <f t="array" ref="U975">IFERROR(INDEX(DFD!$D$2:$D$1048791,MATCH($Q975,DFD!$B$2:$B$1048791,0)),"")</f>
        <v/>
      </c>
      <c r="V975" s="94" t="str">
        <f t="array" ref="V975">IFERROR(INDEX(DFD!$F$2:$F$1048791,MATCH($Q975,DFD!$B$2:$B$1048791,0)),"")</f>
        <v/>
      </c>
      <c r="W975" s="97" t="str">
        <f t="array" ref="W975">IFERROR(INDEX(DFD!$E$2:$E$1048791,MATCH($Q975,DFD!$B$2:$B$1048791,0)),"")</f>
        <v/>
      </c>
      <c r="X975" s="97" t="str">
        <f t="array" ref="X975">IFERROR(INDEX(DFD!$K$2:$K$1048791,MATCH($Q975,DFD!$B$2:$B$1048791,0)),"")</f>
        <v/>
      </c>
      <c r="Y975" s="97" t="str">
        <f t="array" ref="Y975">IFERROR(INDEX(DFD!$L$2:$L$1048790,MATCH($Q975,DFD!$B$2:$B$1048790,0)),"")</f>
        <v/>
      </c>
      <c r="Z975" s="97">
        <f t="shared" si="21"/>
        <v>45</v>
      </c>
      <c r="AA975" s="87" t="s">
        <v>746</v>
      </c>
      <c r="AB975" s="87" t="s">
        <v>78</v>
      </c>
      <c r="AC975" s="87"/>
      <c r="AD975" s="99">
        <v>46043.0</v>
      </c>
      <c r="AE975" s="100">
        <f t="shared" si="19"/>
        <v>1</v>
      </c>
    </row>
    <row r="976" ht="15.75" customHeight="1">
      <c r="A976" s="59" t="s">
        <v>2599</v>
      </c>
      <c r="B976" s="59" t="s">
        <v>52</v>
      </c>
      <c r="C976" s="81" t="s">
        <v>2600</v>
      </c>
      <c r="D976" s="60" t="s">
        <v>51</v>
      </c>
      <c r="E976" s="60">
        <v>1.0</v>
      </c>
      <c r="F976" s="72">
        <v>1.8184103E7</v>
      </c>
      <c r="G976" s="73" t="s">
        <v>53</v>
      </c>
      <c r="H976" s="74">
        <v>46266.0</v>
      </c>
      <c r="I976" s="67" t="s">
        <v>18</v>
      </c>
      <c r="J976" s="67" t="s">
        <v>2601</v>
      </c>
      <c r="K976" s="67" t="s">
        <v>2602</v>
      </c>
      <c r="L976" s="67" t="s">
        <v>56</v>
      </c>
      <c r="M976" s="73" t="s">
        <v>2603</v>
      </c>
      <c r="N976" s="67" t="s">
        <v>58</v>
      </c>
      <c r="O976" s="59" t="s">
        <v>69</v>
      </c>
      <c r="P976" s="59"/>
      <c r="Q976" s="59" t="s">
        <v>52</v>
      </c>
      <c r="R976" s="76" t="s">
        <v>2600</v>
      </c>
      <c r="S976" s="59"/>
      <c r="T976" s="59"/>
      <c r="U976" s="77" t="str">
        <f t="array" ref="U976">IFERROR(INDEX(DFD!$D$2:$D$1048791,MATCH($Q976,DFD!$B$2:$B$1048791,0)),"")</f>
        <v/>
      </c>
      <c r="V976" s="77" t="str">
        <f t="array" ref="V976">IFERROR(INDEX(DFD!$F$2:$F$1048791,MATCH($Q976,DFD!$B$2:$B$1048791,0)),"")</f>
        <v/>
      </c>
      <c r="W976" s="84" t="str">
        <f t="array" ref="W976">IFERROR(INDEX(DFD!$E$2:$E$1048791,MATCH($Q976,DFD!$B$2:$B$1048791,0)),"")</f>
        <v/>
      </c>
      <c r="X976" s="84" t="str">
        <f t="array" ref="X976">IFERROR(INDEX(DFD!$K$2:$K$1048791,MATCH($Q976,DFD!$B$2:$B$1048791,0)),"")</f>
        <v/>
      </c>
      <c r="Y976" s="84" t="str">
        <f t="array" ref="Y976">IFERROR(INDEX(DFD!$L$2:$L$1048790,MATCH($Q976,DFD!$B$2:$B$1048790,0)),"")</f>
        <v/>
      </c>
      <c r="Z976" s="84">
        <f t="shared" si="21"/>
        <v>45</v>
      </c>
      <c r="AA976" s="59"/>
      <c r="AB976" s="59" t="s">
        <v>72</v>
      </c>
      <c r="AC976" s="59"/>
      <c r="AD976" s="85">
        <v>46043.0</v>
      </c>
      <c r="AE976" s="86">
        <f t="shared" si="19"/>
        <v>1</v>
      </c>
    </row>
    <row r="977" ht="15.75" customHeight="1">
      <c r="A977" s="87" t="s">
        <v>2604</v>
      </c>
      <c r="B977" s="87" t="s">
        <v>52</v>
      </c>
      <c r="C977" s="116" t="s">
        <v>2605</v>
      </c>
      <c r="D977" s="88" t="s">
        <v>51</v>
      </c>
      <c r="E977" s="88">
        <v>1.0</v>
      </c>
      <c r="F977" s="89">
        <v>4100000.0</v>
      </c>
      <c r="G977" s="90" t="s">
        <v>53</v>
      </c>
      <c r="H977" s="91">
        <v>46266.0</v>
      </c>
      <c r="I977" s="92" t="s">
        <v>18</v>
      </c>
      <c r="J977" s="92" t="s">
        <v>2601</v>
      </c>
      <c r="K977" s="92" t="s">
        <v>2602</v>
      </c>
      <c r="L977" s="92" t="s">
        <v>56</v>
      </c>
      <c r="M977" s="90" t="s">
        <v>2603</v>
      </c>
      <c r="N977" s="92" t="s">
        <v>58</v>
      </c>
      <c r="O977" s="92" t="s">
        <v>89</v>
      </c>
      <c r="P977" s="87"/>
      <c r="Q977" s="87" t="s">
        <v>52</v>
      </c>
      <c r="R977" s="93" t="s">
        <v>2605</v>
      </c>
      <c r="S977" s="87"/>
      <c r="T977" s="87"/>
      <c r="U977" s="94" t="str">
        <f t="array" ref="U977">IFERROR(INDEX(DFD!$D$2:$D$1048791,MATCH($Q977,DFD!$B$2:$B$1048791,0)),"")</f>
        <v/>
      </c>
      <c r="V977" s="94" t="str">
        <f t="array" ref="V977">IFERROR(INDEX(DFD!$F$2:$F$1048791,MATCH($Q977,DFD!$B$2:$B$1048791,0)),"")</f>
        <v/>
      </c>
      <c r="W977" s="97" t="str">
        <f t="array" ref="W977">IFERROR(INDEX(DFD!$E$2:$E$1048791,MATCH($Q977,DFD!$B$2:$B$1048791,0)),"")</f>
        <v/>
      </c>
      <c r="X977" s="97" t="str">
        <f t="array" ref="X977">IFERROR(INDEX(DFD!$K$2:$K$1048791,MATCH($Q977,DFD!$B$2:$B$1048791,0)),"")</f>
        <v/>
      </c>
      <c r="Y977" s="97" t="str">
        <f t="array" ref="Y977">IFERROR(INDEX(DFD!$L$2:$L$1048790,MATCH($Q977,DFD!$B$2:$B$1048790,0)),"")</f>
        <v/>
      </c>
      <c r="Z977" s="97">
        <f t="shared" si="21"/>
        <v>45</v>
      </c>
      <c r="AA977" s="87"/>
      <c r="AB977" s="87" t="s">
        <v>72</v>
      </c>
      <c r="AC977" s="87"/>
      <c r="AD977" s="99">
        <v>46043.0</v>
      </c>
      <c r="AE977" s="100">
        <f t="shared" si="19"/>
        <v>1</v>
      </c>
    </row>
    <row r="978" ht="15.75" customHeight="1">
      <c r="A978" s="67" t="s">
        <v>2606</v>
      </c>
      <c r="B978" s="59" t="s">
        <v>184</v>
      </c>
      <c r="C978" s="60" t="s">
        <v>2607</v>
      </c>
      <c r="D978" s="60" t="s">
        <v>51</v>
      </c>
      <c r="E978" s="60">
        <v>60.0</v>
      </c>
      <c r="F978" s="72">
        <v>2700.0</v>
      </c>
      <c r="G978" s="73" t="s">
        <v>53</v>
      </c>
      <c r="H978" s="74">
        <v>46174.0</v>
      </c>
      <c r="I978" s="67" t="s">
        <v>17</v>
      </c>
      <c r="J978" s="67" t="s">
        <v>54</v>
      </c>
      <c r="K978" s="67" t="s">
        <v>66</v>
      </c>
      <c r="L978" s="67" t="s">
        <v>67</v>
      </c>
      <c r="M978" s="73" t="s">
        <v>68</v>
      </c>
      <c r="N978" s="67" t="s">
        <v>20</v>
      </c>
      <c r="O978" s="59" t="s">
        <v>69</v>
      </c>
      <c r="P978" s="59"/>
      <c r="Q978" s="59" t="s">
        <v>113</v>
      </c>
      <c r="R978" s="76" t="s">
        <v>503</v>
      </c>
      <c r="S978" s="59"/>
      <c r="T978" s="59"/>
      <c r="U978" s="77" t="str">
        <f t="array" ref="U978">IFERROR(INDEX(DFD!$D$2:$D$1048791,MATCH($Q978,DFD!$B$2:$B$1048791,0)),"")</f>
        <v/>
      </c>
      <c r="V978" s="77" t="str">
        <f t="array" ref="V978">IFERROR(INDEX(DFD!$F$2:$F$1048791,MATCH($Q978,DFD!$B$2:$B$1048791,0)),"")</f>
        <v/>
      </c>
      <c r="W978" s="84" t="str">
        <f t="array" ref="W978">IFERROR(INDEX(DFD!$E$2:$E$1048791,MATCH($Q978,DFD!$B$2:$B$1048791,0)),"")</f>
        <v/>
      </c>
      <c r="X978" s="84" t="str">
        <f t="array" ref="X978">IFERROR(INDEX(DFD!$K$2:$K$1048791,MATCH($Q978,DFD!$B$2:$B$1048791,0)),"")</f>
        <v/>
      </c>
      <c r="Y978" s="84" t="str">
        <f t="array" ref="Y978">IFERROR(INDEX(DFD!$L$2:$L$1048790,MATCH($Q978,DFD!$B$2:$B$1048790,0)),"")</f>
        <v/>
      </c>
      <c r="Z978" s="84">
        <f t="shared" si="21"/>
        <v>45</v>
      </c>
      <c r="AA978" s="59" t="s">
        <v>746</v>
      </c>
      <c r="AB978" s="59" t="s">
        <v>78</v>
      </c>
      <c r="AC978" s="59"/>
      <c r="AD978" s="85">
        <v>46043.0</v>
      </c>
      <c r="AE978" s="86">
        <f t="shared" si="19"/>
        <v>1</v>
      </c>
    </row>
    <row r="979" ht="15.75" customHeight="1">
      <c r="A979" s="92" t="s">
        <v>2608</v>
      </c>
      <c r="B979" s="87" t="s">
        <v>184</v>
      </c>
      <c r="C979" s="88" t="s">
        <v>2609</v>
      </c>
      <c r="D979" s="88" t="s">
        <v>51</v>
      </c>
      <c r="E979" s="88">
        <v>700.0</v>
      </c>
      <c r="F979" s="89">
        <v>3360.0</v>
      </c>
      <c r="G979" s="90" t="s">
        <v>53</v>
      </c>
      <c r="H979" s="91">
        <v>46174.0</v>
      </c>
      <c r="I979" s="92" t="s">
        <v>17</v>
      </c>
      <c r="J979" s="92" t="s">
        <v>54</v>
      </c>
      <c r="K979" s="92" t="s">
        <v>66</v>
      </c>
      <c r="L979" s="92" t="s">
        <v>67</v>
      </c>
      <c r="M979" s="90" t="s">
        <v>167</v>
      </c>
      <c r="N979" s="92" t="s">
        <v>20</v>
      </c>
      <c r="O979" s="87" t="s">
        <v>69</v>
      </c>
      <c r="P979" s="87"/>
      <c r="Q979" s="87" t="s">
        <v>1884</v>
      </c>
      <c r="R979" s="93" t="s">
        <v>269</v>
      </c>
      <c r="S979" s="87"/>
      <c r="T979" s="87"/>
      <c r="U979" s="94" t="str">
        <f t="array" ref="U979">IFERROR(INDEX(DFD!$D$2:$D$1048791,MATCH($Q979,DFD!$B$2:$B$1048791,0)),"")</f>
        <v/>
      </c>
      <c r="V979" s="94" t="str">
        <f t="array" ref="V979">IFERROR(INDEX(DFD!$F$2:$F$1048791,MATCH($Q979,DFD!$B$2:$B$1048791,0)),"")</f>
        <v/>
      </c>
      <c r="W979" s="97" t="str">
        <f t="array" ref="W979">IFERROR(INDEX(DFD!$E$2:$E$1048791,MATCH($Q979,DFD!$B$2:$B$1048791,0)),"")</f>
        <v/>
      </c>
      <c r="X979" s="97" t="str">
        <f t="array" ref="X979">IFERROR(INDEX(DFD!$K$2:$K$1048791,MATCH($Q979,DFD!$B$2:$B$1048791,0)),"")</f>
        <v/>
      </c>
      <c r="Y979" s="97" t="str">
        <f t="array" ref="Y979">IFERROR(INDEX(DFD!$L$2:$L$1048790,MATCH($Q979,DFD!$B$2:$B$1048790,0)),"")</f>
        <v/>
      </c>
      <c r="Z979" s="97">
        <f t="shared" si="21"/>
        <v>45</v>
      </c>
      <c r="AA979" s="87"/>
      <c r="AB979" s="87" t="s">
        <v>78</v>
      </c>
      <c r="AC979" s="87"/>
      <c r="AD979" s="99">
        <v>46043.0</v>
      </c>
      <c r="AE979" s="100">
        <f t="shared" si="19"/>
        <v>1</v>
      </c>
    </row>
    <row r="980" ht="15.75" customHeight="1">
      <c r="A980" s="67" t="s">
        <v>2610</v>
      </c>
      <c r="B980" s="67" t="s">
        <v>107</v>
      </c>
      <c r="C980" s="60" t="s">
        <v>2611</v>
      </c>
      <c r="D980" s="81" t="s">
        <v>51</v>
      </c>
      <c r="E980" s="81">
        <v>2.0</v>
      </c>
      <c r="F980" s="101">
        <v>1200.0</v>
      </c>
      <c r="G980" s="73" t="s">
        <v>53</v>
      </c>
      <c r="H980" s="83">
        <v>46174.0</v>
      </c>
      <c r="I980" s="67" t="s">
        <v>17</v>
      </c>
      <c r="J980" s="67" t="s">
        <v>54</v>
      </c>
      <c r="K980" s="67" t="s">
        <v>66</v>
      </c>
      <c r="L980" s="67" t="s">
        <v>56</v>
      </c>
      <c r="M980" s="73" t="s">
        <v>112</v>
      </c>
      <c r="N980" s="67" t="s">
        <v>58</v>
      </c>
      <c r="O980" s="67" t="s">
        <v>89</v>
      </c>
      <c r="P980" s="59"/>
      <c r="Q980" s="59" t="s">
        <v>946</v>
      </c>
      <c r="R980" s="76" t="s">
        <v>373</v>
      </c>
      <c r="S980" s="59"/>
      <c r="T980" s="59"/>
      <c r="U980" s="77" t="str">
        <f t="array" ref="U980">IFERROR(INDEX(DFD!$D$2:$D$1048791,MATCH($Q980,DFD!$B$2:$B$1048791,0)),"")</f>
        <v/>
      </c>
      <c r="V980" s="77" t="str">
        <f t="array" ref="V980">IFERROR(INDEX(DFD!$F$2:$F$1048791,MATCH($Q980,DFD!$B$2:$B$1048791,0)),"")</f>
        <v/>
      </c>
      <c r="W980" s="84" t="str">
        <f t="array" ref="W980">IFERROR(INDEX(DFD!$E$2:$E$1048791,MATCH($Q980,DFD!$B$2:$B$1048791,0)),"")</f>
        <v/>
      </c>
      <c r="X980" s="84" t="str">
        <f t="array" ref="X980">IFERROR(INDEX(DFD!$K$2:$K$1048791,MATCH($Q980,DFD!$B$2:$B$1048791,0)),"")</f>
        <v/>
      </c>
      <c r="Y980" s="84" t="str">
        <f t="array" ref="Y980">IFERROR(INDEX(DFD!$L$2:$L$1048790,MATCH($Q980,DFD!$B$2:$B$1048790,0)),"")</f>
        <v/>
      </c>
      <c r="Z980" s="84">
        <f t="shared" si="21"/>
        <v>45</v>
      </c>
      <c r="AA980" s="59"/>
      <c r="AB980" s="59" t="s">
        <v>78</v>
      </c>
      <c r="AC980" s="59"/>
      <c r="AD980" s="85">
        <v>46043.0</v>
      </c>
      <c r="AE980" s="86">
        <f t="shared" si="19"/>
        <v>1</v>
      </c>
    </row>
    <row r="981" ht="15.75" customHeight="1">
      <c r="A981" s="92" t="s">
        <v>2612</v>
      </c>
      <c r="B981" s="87" t="s">
        <v>184</v>
      </c>
      <c r="C981" s="88" t="s">
        <v>2613</v>
      </c>
      <c r="D981" s="88" t="s">
        <v>51</v>
      </c>
      <c r="E981" s="88">
        <v>40.0</v>
      </c>
      <c r="F981" s="89">
        <v>676.0</v>
      </c>
      <c r="G981" s="90" t="s">
        <v>53</v>
      </c>
      <c r="H981" s="91">
        <v>46174.0</v>
      </c>
      <c r="I981" s="92" t="s">
        <v>17</v>
      </c>
      <c r="J981" s="92" t="s">
        <v>54</v>
      </c>
      <c r="K981" s="92" t="s">
        <v>66</v>
      </c>
      <c r="L981" s="92" t="s">
        <v>67</v>
      </c>
      <c r="M981" s="90" t="s">
        <v>112</v>
      </c>
      <c r="N981" s="92" t="s">
        <v>20</v>
      </c>
      <c r="O981" s="87" t="s">
        <v>69</v>
      </c>
      <c r="P981" s="87"/>
      <c r="Q981" s="87" t="s">
        <v>1399</v>
      </c>
      <c r="R981" s="93" t="s">
        <v>187</v>
      </c>
      <c r="S981" s="87"/>
      <c r="T981" s="87"/>
      <c r="U981" s="94" t="str">
        <f t="array" ref="U981">IFERROR(INDEX(DFD!$D$2:$D$1048791,MATCH($Q981,DFD!$B$2:$B$1048791,0)),"")</f>
        <v/>
      </c>
      <c r="V981" s="94" t="str">
        <f t="array" ref="V981">IFERROR(INDEX(DFD!$F$2:$F$1048791,MATCH($Q981,DFD!$B$2:$B$1048791,0)),"")</f>
        <v/>
      </c>
      <c r="W981" s="97" t="str">
        <f t="array" ref="W981">IFERROR(INDEX(DFD!$E$2:$E$1048791,MATCH($Q981,DFD!$B$2:$B$1048791,0)),"")</f>
        <v/>
      </c>
      <c r="X981" s="97" t="str">
        <f t="array" ref="X981">IFERROR(INDEX(DFD!$K$2:$K$1048791,MATCH($Q981,DFD!$B$2:$B$1048791,0)),"")</f>
        <v/>
      </c>
      <c r="Y981" s="97" t="str">
        <f t="array" ref="Y981">IFERROR(INDEX(DFD!$L$2:$L$1048790,MATCH($Q981,DFD!$B$2:$B$1048790,0)),"")</f>
        <v/>
      </c>
      <c r="Z981" s="97">
        <f t="shared" si="21"/>
        <v>45</v>
      </c>
      <c r="AA981" s="87"/>
      <c r="AB981" s="87" t="s">
        <v>78</v>
      </c>
      <c r="AC981" s="87"/>
      <c r="AD981" s="99">
        <v>46043.0</v>
      </c>
      <c r="AE981" s="100">
        <f t="shared" si="19"/>
        <v>1</v>
      </c>
    </row>
    <row r="982" ht="15.75" customHeight="1">
      <c r="A982" s="67" t="s">
        <v>2614</v>
      </c>
      <c r="B982" s="59" t="s">
        <v>184</v>
      </c>
      <c r="C982" s="60" t="s">
        <v>2615</v>
      </c>
      <c r="D982" s="60" t="s">
        <v>51</v>
      </c>
      <c r="E982" s="60">
        <v>30.0</v>
      </c>
      <c r="F982" s="72">
        <v>599.7</v>
      </c>
      <c r="G982" s="73" t="s">
        <v>53</v>
      </c>
      <c r="H982" s="74">
        <v>46174.0</v>
      </c>
      <c r="I982" s="67" t="s">
        <v>17</v>
      </c>
      <c r="J982" s="67" t="s">
        <v>54</v>
      </c>
      <c r="K982" s="67" t="s">
        <v>66</v>
      </c>
      <c r="L982" s="67" t="s">
        <v>67</v>
      </c>
      <c r="M982" s="73" t="s">
        <v>112</v>
      </c>
      <c r="N982" s="67" t="s">
        <v>20</v>
      </c>
      <c r="O982" s="59" t="s">
        <v>69</v>
      </c>
      <c r="P982" s="59"/>
      <c r="Q982" s="59" t="s">
        <v>1399</v>
      </c>
      <c r="R982" s="76" t="s">
        <v>187</v>
      </c>
      <c r="S982" s="59"/>
      <c r="T982" s="59"/>
      <c r="U982" s="77" t="str">
        <f t="array" ref="U982">IFERROR(INDEX(DFD!$D$2:$D$1048791,MATCH($Q982,DFD!$B$2:$B$1048791,0)),"")</f>
        <v/>
      </c>
      <c r="V982" s="77" t="str">
        <f t="array" ref="V982">IFERROR(INDEX(DFD!$F$2:$F$1048791,MATCH($Q982,DFD!$B$2:$B$1048791,0)),"")</f>
        <v/>
      </c>
      <c r="W982" s="84" t="str">
        <f t="array" ref="W982">IFERROR(INDEX(DFD!$E$2:$E$1048791,MATCH($Q982,DFD!$B$2:$B$1048791,0)),"")</f>
        <v/>
      </c>
      <c r="X982" s="84" t="str">
        <f t="array" ref="X982">IFERROR(INDEX(DFD!$K$2:$K$1048791,MATCH($Q982,DFD!$B$2:$B$1048791,0)),"")</f>
        <v/>
      </c>
      <c r="Y982" s="84" t="str">
        <f t="array" ref="Y982">IFERROR(INDEX(DFD!$L$2:$L$1048790,MATCH($Q982,DFD!$B$2:$B$1048790,0)),"")</f>
        <v/>
      </c>
      <c r="Z982" s="84">
        <f t="shared" si="21"/>
        <v>45</v>
      </c>
      <c r="AA982" s="59"/>
      <c r="AB982" s="59" t="s">
        <v>78</v>
      </c>
      <c r="AC982" s="59"/>
      <c r="AD982" s="85">
        <v>46043.0</v>
      </c>
      <c r="AE982" s="86">
        <f t="shared" si="19"/>
        <v>1</v>
      </c>
    </row>
    <row r="983" ht="15.75" customHeight="1">
      <c r="A983" s="92" t="s">
        <v>2616</v>
      </c>
      <c r="B983" s="87" t="s">
        <v>184</v>
      </c>
      <c r="C983" s="88" t="s">
        <v>2617</v>
      </c>
      <c r="D983" s="88" t="s">
        <v>51</v>
      </c>
      <c r="E983" s="88">
        <v>60.0</v>
      </c>
      <c r="F983" s="89">
        <v>1020.6</v>
      </c>
      <c r="G983" s="90" t="s">
        <v>53</v>
      </c>
      <c r="H983" s="91">
        <v>46174.0</v>
      </c>
      <c r="I983" s="92" t="s">
        <v>17</v>
      </c>
      <c r="J983" s="92" t="s">
        <v>54</v>
      </c>
      <c r="K983" s="92" t="s">
        <v>66</v>
      </c>
      <c r="L983" s="92" t="s">
        <v>67</v>
      </c>
      <c r="M983" s="90" t="s">
        <v>112</v>
      </c>
      <c r="N983" s="92" t="s">
        <v>20</v>
      </c>
      <c r="O983" s="92" t="s">
        <v>89</v>
      </c>
      <c r="P983" s="87"/>
      <c r="Q983" s="87" t="s">
        <v>1399</v>
      </c>
      <c r="R983" s="93" t="s">
        <v>187</v>
      </c>
      <c r="S983" s="87"/>
      <c r="T983" s="87"/>
      <c r="U983" s="94" t="str">
        <f t="array" ref="U983">IFERROR(INDEX(DFD!$D$2:$D$1048791,MATCH($Q983,DFD!$B$2:$B$1048791,0)),"")</f>
        <v/>
      </c>
      <c r="V983" s="94" t="str">
        <f t="array" ref="V983">IFERROR(INDEX(DFD!$F$2:$F$1048791,MATCH($Q983,DFD!$B$2:$B$1048791,0)),"")</f>
        <v/>
      </c>
      <c r="W983" s="97" t="str">
        <f t="array" ref="W983">IFERROR(INDEX(DFD!$E$2:$E$1048791,MATCH($Q983,DFD!$B$2:$B$1048791,0)),"")</f>
        <v/>
      </c>
      <c r="X983" s="97" t="str">
        <f t="array" ref="X983">IFERROR(INDEX(DFD!$K$2:$K$1048791,MATCH($Q983,DFD!$B$2:$B$1048791,0)),"")</f>
        <v/>
      </c>
      <c r="Y983" s="97" t="str">
        <f t="array" ref="Y983">IFERROR(INDEX(DFD!$L$2:$L$1048790,MATCH($Q983,DFD!$B$2:$B$1048790,0)),"")</f>
        <v/>
      </c>
      <c r="Z983" s="97">
        <f t="shared" si="21"/>
        <v>45</v>
      </c>
      <c r="AA983" s="87"/>
      <c r="AB983" s="87" t="s">
        <v>78</v>
      </c>
      <c r="AC983" s="87"/>
      <c r="AD983" s="99">
        <v>46043.0</v>
      </c>
      <c r="AE983" s="100">
        <f t="shared" si="19"/>
        <v>1</v>
      </c>
    </row>
    <row r="984" ht="15.75" customHeight="1">
      <c r="A984" s="67" t="s">
        <v>2618</v>
      </c>
      <c r="B984" s="59" t="s">
        <v>184</v>
      </c>
      <c r="C984" s="60" t="s">
        <v>2619</v>
      </c>
      <c r="D984" s="60" t="s">
        <v>51</v>
      </c>
      <c r="E984" s="60">
        <v>60.0</v>
      </c>
      <c r="F984" s="72">
        <v>900.0</v>
      </c>
      <c r="G984" s="73" t="s">
        <v>53</v>
      </c>
      <c r="H984" s="74">
        <v>46174.0</v>
      </c>
      <c r="I984" s="67" t="s">
        <v>17</v>
      </c>
      <c r="J984" s="67" t="s">
        <v>54</v>
      </c>
      <c r="K984" s="67" t="s">
        <v>66</v>
      </c>
      <c r="L984" s="67" t="s">
        <v>67</v>
      </c>
      <c r="M984" s="73" t="s">
        <v>112</v>
      </c>
      <c r="N984" s="67" t="s">
        <v>20</v>
      </c>
      <c r="O984" s="59" t="s">
        <v>69</v>
      </c>
      <c r="P984" s="59"/>
      <c r="Q984" s="59" t="s">
        <v>1399</v>
      </c>
      <c r="R984" s="76" t="s">
        <v>187</v>
      </c>
      <c r="S984" s="59"/>
      <c r="T984" s="59"/>
      <c r="U984" s="77" t="str">
        <f t="array" ref="U984">IFERROR(INDEX(DFD!$D$2:$D$1048791,MATCH($Q984,DFD!$B$2:$B$1048791,0)),"")</f>
        <v/>
      </c>
      <c r="V984" s="77" t="str">
        <f t="array" ref="V984">IFERROR(INDEX(DFD!$F$2:$F$1048791,MATCH($Q984,DFD!$B$2:$B$1048791,0)),"")</f>
        <v/>
      </c>
      <c r="W984" s="84" t="str">
        <f t="array" ref="W984">IFERROR(INDEX(DFD!$E$2:$E$1048791,MATCH($Q984,DFD!$B$2:$B$1048791,0)),"")</f>
        <v/>
      </c>
      <c r="X984" s="84" t="str">
        <f t="array" ref="X984">IFERROR(INDEX(DFD!$K$2:$K$1048791,MATCH($Q984,DFD!$B$2:$B$1048791,0)),"")</f>
        <v/>
      </c>
      <c r="Y984" s="84" t="str">
        <f t="array" ref="Y984">IFERROR(INDEX(DFD!$L$2:$L$1048790,MATCH($Q984,DFD!$B$2:$B$1048790,0)),"")</f>
        <v/>
      </c>
      <c r="Z984" s="84">
        <f t="shared" si="21"/>
        <v>45</v>
      </c>
      <c r="AA984" s="59"/>
      <c r="AB984" s="59" t="s">
        <v>78</v>
      </c>
      <c r="AC984" s="59"/>
      <c r="AD984" s="85">
        <v>46043.0</v>
      </c>
      <c r="AE984" s="86">
        <f t="shared" si="19"/>
        <v>1</v>
      </c>
    </row>
    <row r="985" ht="15.75" customHeight="1">
      <c r="A985" s="92" t="s">
        <v>2620</v>
      </c>
      <c r="B985" s="87" t="s">
        <v>184</v>
      </c>
      <c r="C985" s="88" t="s">
        <v>2621</v>
      </c>
      <c r="D985" s="88" t="s">
        <v>51</v>
      </c>
      <c r="E985" s="88">
        <v>30.0</v>
      </c>
      <c r="F985" s="89">
        <v>237.0</v>
      </c>
      <c r="G985" s="90" t="s">
        <v>53</v>
      </c>
      <c r="H985" s="91">
        <v>46143.0</v>
      </c>
      <c r="I985" s="92" t="s">
        <v>17</v>
      </c>
      <c r="J985" s="92" t="s">
        <v>54</v>
      </c>
      <c r="K985" s="92" t="s">
        <v>66</v>
      </c>
      <c r="L985" s="92" t="s">
        <v>67</v>
      </c>
      <c r="M985" s="90" t="s">
        <v>112</v>
      </c>
      <c r="N985" s="92" t="s">
        <v>20</v>
      </c>
      <c r="O985" s="87" t="s">
        <v>69</v>
      </c>
      <c r="P985" s="87"/>
      <c r="Q985" s="87" t="s">
        <v>113</v>
      </c>
      <c r="R985" s="93" t="s">
        <v>718</v>
      </c>
      <c r="S985" s="87"/>
      <c r="T985" s="87"/>
      <c r="U985" s="94" t="str">
        <f t="array" ref="U985">IFERROR(INDEX(DFD!$D$2:$D$1048791,MATCH($Q985,DFD!$B$2:$B$1048791,0)),"")</f>
        <v/>
      </c>
      <c r="V985" s="94" t="str">
        <f t="array" ref="V985">IFERROR(INDEX(DFD!$F$2:$F$1048791,MATCH($Q985,DFD!$B$2:$B$1048791,0)),"")</f>
        <v/>
      </c>
      <c r="W985" s="97" t="str">
        <f t="array" ref="W985">IFERROR(INDEX(DFD!$E$2:$E$1048791,MATCH($Q985,DFD!$B$2:$B$1048791,0)),"")</f>
        <v/>
      </c>
      <c r="X985" s="97" t="str">
        <f t="array" ref="X985">IFERROR(INDEX(DFD!$K$2:$K$1048791,MATCH($Q985,DFD!$B$2:$B$1048791,0)),"")</f>
        <v/>
      </c>
      <c r="Y985" s="97" t="str">
        <f t="array" ref="Y985">IFERROR(INDEX(DFD!$L$2:$L$1048790,MATCH($Q985,DFD!$B$2:$B$1048790,0)),"")</f>
        <v/>
      </c>
      <c r="Z985" s="97">
        <f t="shared" si="21"/>
        <v>45</v>
      </c>
      <c r="AA985" s="87" t="s">
        <v>746</v>
      </c>
      <c r="AB985" s="87" t="s">
        <v>78</v>
      </c>
      <c r="AC985" s="87"/>
      <c r="AD985" s="99">
        <v>46043.0</v>
      </c>
      <c r="AE985" s="100">
        <f t="shared" si="19"/>
        <v>1</v>
      </c>
    </row>
    <row r="986" ht="15.75" customHeight="1">
      <c r="A986" s="67" t="s">
        <v>2622</v>
      </c>
      <c r="B986" s="59" t="s">
        <v>184</v>
      </c>
      <c r="C986" s="60" t="s">
        <v>2623</v>
      </c>
      <c r="D986" s="60" t="s">
        <v>51</v>
      </c>
      <c r="E986" s="60">
        <v>20.0</v>
      </c>
      <c r="F986" s="72">
        <v>116.0</v>
      </c>
      <c r="G986" s="73" t="s">
        <v>53</v>
      </c>
      <c r="H986" s="74">
        <v>46143.0</v>
      </c>
      <c r="I986" s="67" t="s">
        <v>17</v>
      </c>
      <c r="J986" s="67" t="s">
        <v>54</v>
      </c>
      <c r="K986" s="67" t="s">
        <v>66</v>
      </c>
      <c r="L986" s="67" t="s">
        <v>67</v>
      </c>
      <c r="M986" s="73" t="s">
        <v>112</v>
      </c>
      <c r="N986" s="67" t="s">
        <v>20</v>
      </c>
      <c r="O986" s="67" t="s">
        <v>89</v>
      </c>
      <c r="P986" s="59"/>
      <c r="Q986" s="59" t="s">
        <v>113</v>
      </c>
      <c r="R986" s="76" t="s">
        <v>718</v>
      </c>
      <c r="S986" s="59"/>
      <c r="T986" s="59"/>
      <c r="U986" s="77" t="str">
        <f t="array" ref="U986">IFERROR(INDEX(DFD!$D$2:$D$1048791,MATCH($Q986,DFD!$B$2:$B$1048791,0)),"")</f>
        <v/>
      </c>
      <c r="V986" s="77" t="str">
        <f t="array" ref="V986">IFERROR(INDEX(DFD!$F$2:$F$1048791,MATCH($Q986,DFD!$B$2:$B$1048791,0)),"")</f>
        <v/>
      </c>
      <c r="W986" s="84" t="str">
        <f t="array" ref="W986">IFERROR(INDEX(DFD!$E$2:$E$1048791,MATCH($Q986,DFD!$B$2:$B$1048791,0)),"")</f>
        <v/>
      </c>
      <c r="X986" s="84" t="str">
        <f t="array" ref="X986">IFERROR(INDEX(DFD!$K$2:$K$1048791,MATCH($Q986,DFD!$B$2:$B$1048791,0)),"")</f>
        <v/>
      </c>
      <c r="Y986" s="84" t="str">
        <f t="array" ref="Y986">IFERROR(INDEX(DFD!$L$2:$L$1048790,MATCH($Q986,DFD!$B$2:$B$1048790,0)),"")</f>
        <v/>
      </c>
      <c r="Z986" s="84">
        <f t="shared" si="21"/>
        <v>45</v>
      </c>
      <c r="AA986" s="59" t="s">
        <v>746</v>
      </c>
      <c r="AB986" s="59" t="s">
        <v>78</v>
      </c>
      <c r="AC986" s="59"/>
      <c r="AD986" s="85">
        <v>46043.0</v>
      </c>
      <c r="AE986" s="86">
        <f t="shared" si="19"/>
        <v>1</v>
      </c>
    </row>
    <row r="987" ht="15.75" customHeight="1">
      <c r="A987" s="92" t="s">
        <v>2624</v>
      </c>
      <c r="B987" s="87" t="s">
        <v>184</v>
      </c>
      <c r="C987" s="88" t="s">
        <v>2625</v>
      </c>
      <c r="D987" s="88" t="s">
        <v>51</v>
      </c>
      <c r="E987" s="88">
        <v>2.0</v>
      </c>
      <c r="F987" s="89">
        <v>123.8</v>
      </c>
      <c r="G987" s="90" t="s">
        <v>53</v>
      </c>
      <c r="H987" s="91">
        <v>46143.0</v>
      </c>
      <c r="I987" s="92" t="s">
        <v>17</v>
      </c>
      <c r="J987" s="92" t="s">
        <v>54</v>
      </c>
      <c r="K987" s="92" t="s">
        <v>66</v>
      </c>
      <c r="L987" s="92" t="s">
        <v>67</v>
      </c>
      <c r="M987" s="90" t="s">
        <v>132</v>
      </c>
      <c r="N987" s="92" t="s">
        <v>20</v>
      </c>
      <c r="O987" s="87" t="s">
        <v>69</v>
      </c>
      <c r="P987" s="87"/>
      <c r="Q987" s="87" t="s">
        <v>576</v>
      </c>
      <c r="R987" s="93" t="s">
        <v>577</v>
      </c>
      <c r="S987" s="87"/>
      <c r="T987" s="87"/>
      <c r="U987" s="94" t="str">
        <f t="array" ref="U987">IFERROR(INDEX(DFD!$D$2:$D$1048791,MATCH($Q987,DFD!$B$2:$B$1048791,0)),"")</f>
        <v/>
      </c>
      <c r="V987" s="94" t="s">
        <v>280</v>
      </c>
      <c r="W987" s="97" t="str">
        <f t="array" ref="W987">IFERROR(INDEX(DFD!$E$2:$E$1048791,MATCH($Q987,DFD!$B$2:$B$1048791,0)),"")</f>
        <v/>
      </c>
      <c r="X987" s="97" t="str">
        <f t="array" ref="X987">IFERROR(INDEX(DFD!$K$2:$K$1048791,MATCH($Q987,DFD!$B$2:$B$1048791,0)),"")</f>
        <v/>
      </c>
      <c r="Y987" s="97" t="str">
        <f t="array" ref="Y987">IFERROR(INDEX(DFD!$L$2:$L$1048790,MATCH($Q987,DFD!$B$2:$B$1048790,0)),"")</f>
        <v/>
      </c>
      <c r="Z987" s="97">
        <f t="shared" si="21"/>
        <v>45</v>
      </c>
      <c r="AA987" s="87"/>
      <c r="AB987" s="87" t="s">
        <v>78</v>
      </c>
      <c r="AC987" s="87"/>
      <c r="AD987" s="99">
        <v>46043.0</v>
      </c>
      <c r="AE987" s="100">
        <f t="shared" si="19"/>
        <v>1</v>
      </c>
    </row>
    <row r="988" ht="15.75" customHeight="1">
      <c r="A988" s="67" t="s">
        <v>2626</v>
      </c>
      <c r="B988" s="59" t="s">
        <v>184</v>
      </c>
      <c r="C988" s="60" t="s">
        <v>2627</v>
      </c>
      <c r="D988" s="60" t="s">
        <v>51</v>
      </c>
      <c r="E988" s="60">
        <v>20.0</v>
      </c>
      <c r="F988" s="72">
        <v>390.0</v>
      </c>
      <c r="G988" s="73" t="s">
        <v>53</v>
      </c>
      <c r="H988" s="74">
        <v>46174.0</v>
      </c>
      <c r="I988" s="67" t="s">
        <v>17</v>
      </c>
      <c r="J988" s="67" t="s">
        <v>54</v>
      </c>
      <c r="K988" s="67" t="s">
        <v>66</v>
      </c>
      <c r="L988" s="67" t="s">
        <v>67</v>
      </c>
      <c r="M988" s="73" t="s">
        <v>132</v>
      </c>
      <c r="N988" s="67" t="s">
        <v>20</v>
      </c>
      <c r="O988" s="59" t="s">
        <v>69</v>
      </c>
      <c r="P988" s="59"/>
      <c r="Q988" s="59" t="s">
        <v>113</v>
      </c>
      <c r="R988" s="76" t="s">
        <v>718</v>
      </c>
      <c r="S988" s="59"/>
      <c r="T988" s="59"/>
      <c r="U988" s="77" t="str">
        <f t="array" ref="U988">IFERROR(INDEX(DFD!$D$2:$D$1048791,MATCH($Q988,DFD!$B$2:$B$1048791,0)),"")</f>
        <v/>
      </c>
      <c r="V988" s="77" t="str">
        <f t="array" ref="V988">IFERROR(INDEX(DFD!$F$2:$F$1048791,MATCH($Q988,DFD!$B$2:$B$1048791,0)),"")</f>
        <v/>
      </c>
      <c r="W988" s="84" t="str">
        <f t="array" ref="W988">IFERROR(INDEX(DFD!$E$2:$E$1048791,MATCH($Q988,DFD!$B$2:$B$1048791,0)),"")</f>
        <v/>
      </c>
      <c r="X988" s="84" t="str">
        <f t="array" ref="X988">IFERROR(INDEX(DFD!$K$2:$K$1048791,MATCH($Q988,DFD!$B$2:$B$1048791,0)),"")</f>
        <v/>
      </c>
      <c r="Y988" s="84" t="str">
        <f t="array" ref="Y988">IFERROR(INDEX(DFD!$L$2:$L$1048790,MATCH($Q988,DFD!$B$2:$B$1048790,0)),"")</f>
        <v/>
      </c>
      <c r="Z988" s="84">
        <f t="shared" si="21"/>
        <v>45</v>
      </c>
      <c r="AA988" s="59"/>
      <c r="AB988" s="59" t="s">
        <v>78</v>
      </c>
      <c r="AC988" s="59"/>
      <c r="AD988" s="85">
        <v>46043.0</v>
      </c>
      <c r="AE988" s="86">
        <f t="shared" si="19"/>
        <v>1</v>
      </c>
    </row>
    <row r="989" ht="15.75" customHeight="1">
      <c r="A989" s="92" t="s">
        <v>2628</v>
      </c>
      <c r="B989" s="87" t="s">
        <v>184</v>
      </c>
      <c r="C989" s="88" t="s">
        <v>2629</v>
      </c>
      <c r="D989" s="88" t="s">
        <v>51</v>
      </c>
      <c r="E989" s="88">
        <v>15.0</v>
      </c>
      <c r="F989" s="89">
        <v>163.5</v>
      </c>
      <c r="G989" s="90" t="s">
        <v>53</v>
      </c>
      <c r="H989" s="91">
        <v>46266.0</v>
      </c>
      <c r="I989" s="92" t="s">
        <v>17</v>
      </c>
      <c r="J989" s="92" t="s">
        <v>54</v>
      </c>
      <c r="K989" s="92" t="s">
        <v>372</v>
      </c>
      <c r="L989" s="92" t="s">
        <v>67</v>
      </c>
      <c r="M989" s="90" t="s">
        <v>104</v>
      </c>
      <c r="N989" s="92" t="s">
        <v>20</v>
      </c>
      <c r="O989" s="92" t="s">
        <v>89</v>
      </c>
      <c r="P989" s="87"/>
      <c r="Q989" s="87" t="s">
        <v>113</v>
      </c>
      <c r="R989" s="93" t="s">
        <v>718</v>
      </c>
      <c r="S989" s="129"/>
      <c r="T989" s="87"/>
      <c r="U989" s="94" t="str">
        <f t="array" ref="U989">IFERROR(INDEX(DFD!$D$2:$D$1048791,MATCH($Q989,DFD!$B$2:$B$1048791,0)),"")</f>
        <v/>
      </c>
      <c r="V989" s="94" t="str">
        <f t="array" ref="V989">IFERROR(INDEX(DFD!$F$2:$F$1048791,MATCH($Q989,DFD!$B$2:$B$1048791,0)),"")</f>
        <v/>
      </c>
      <c r="W989" s="97" t="str">
        <f t="array" ref="W989">IFERROR(INDEX(DFD!$E$2:$E$1048791,MATCH($Q989,DFD!$B$2:$B$1048791,0)),"")</f>
        <v/>
      </c>
      <c r="X989" s="97" t="str">
        <f t="array" ref="X989">IFERROR(INDEX(DFD!$K$2:$K$1048791,MATCH($Q989,DFD!$B$2:$B$1048791,0)),"")</f>
        <v/>
      </c>
      <c r="Y989" s="97" t="str">
        <f t="array" ref="Y989">IFERROR(INDEX(DFD!$L$2:$L$1048790,MATCH($Q989,DFD!$B$2:$B$1048790,0)),"")</f>
        <v/>
      </c>
      <c r="Z989" s="97">
        <f t="shared" si="21"/>
        <v>45</v>
      </c>
      <c r="AA989" s="87" t="s">
        <v>746</v>
      </c>
      <c r="AB989" s="87" t="s">
        <v>78</v>
      </c>
      <c r="AC989" s="87"/>
      <c r="AD989" s="99">
        <v>46043.0</v>
      </c>
      <c r="AE989" s="100">
        <f t="shared" si="19"/>
        <v>1</v>
      </c>
    </row>
    <row r="990" ht="15.75" customHeight="1">
      <c r="A990" s="67" t="s">
        <v>2630</v>
      </c>
      <c r="B990" s="59" t="s">
        <v>184</v>
      </c>
      <c r="C990" s="60" t="s">
        <v>2631</v>
      </c>
      <c r="D990" s="60" t="s">
        <v>51</v>
      </c>
      <c r="E990" s="60">
        <v>30.0</v>
      </c>
      <c r="F990" s="72">
        <v>273.0</v>
      </c>
      <c r="G990" s="73" t="s">
        <v>53</v>
      </c>
      <c r="H990" s="74">
        <v>46266.0</v>
      </c>
      <c r="I990" s="67" t="s">
        <v>17</v>
      </c>
      <c r="J990" s="67" t="s">
        <v>54</v>
      </c>
      <c r="K990" s="67" t="s">
        <v>372</v>
      </c>
      <c r="L990" s="67" t="s">
        <v>67</v>
      </c>
      <c r="M990" s="73" t="s">
        <v>104</v>
      </c>
      <c r="N990" s="67" t="s">
        <v>20</v>
      </c>
      <c r="O990" s="59" t="s">
        <v>69</v>
      </c>
      <c r="P990" s="59"/>
      <c r="Q990" s="59" t="s">
        <v>113</v>
      </c>
      <c r="R990" s="76" t="s">
        <v>503</v>
      </c>
      <c r="S990" s="120"/>
      <c r="T990" s="59"/>
      <c r="U990" s="77" t="str">
        <f t="array" ref="U990">IFERROR(INDEX(DFD!$D$2:$D$1048791,MATCH($Q990,DFD!$B$2:$B$1048791,0)),"")</f>
        <v/>
      </c>
      <c r="V990" s="77" t="str">
        <f t="array" ref="V990">IFERROR(INDEX(DFD!$F$2:$F$1048791,MATCH($Q990,DFD!$B$2:$B$1048791,0)),"")</f>
        <v/>
      </c>
      <c r="W990" s="84" t="str">
        <f t="array" ref="W990">IFERROR(INDEX(DFD!$E$2:$E$1048791,MATCH($Q990,DFD!$B$2:$B$1048791,0)),"")</f>
        <v/>
      </c>
      <c r="X990" s="84" t="str">
        <f t="array" ref="X990">IFERROR(INDEX(DFD!$K$2:$K$1048791,MATCH($Q990,DFD!$B$2:$B$1048791,0)),"")</f>
        <v/>
      </c>
      <c r="Y990" s="84" t="str">
        <f t="array" ref="Y990">IFERROR(INDEX(DFD!$L$2:$L$1048790,MATCH($Q990,DFD!$B$2:$B$1048790,0)),"")</f>
        <v/>
      </c>
      <c r="Z990" s="84">
        <f t="shared" si="21"/>
        <v>45</v>
      </c>
      <c r="AA990" s="59"/>
      <c r="AB990" s="59" t="s">
        <v>78</v>
      </c>
      <c r="AC990" s="59"/>
      <c r="AD990" s="85">
        <v>46043.0</v>
      </c>
      <c r="AE990" s="86">
        <f t="shared" si="19"/>
        <v>1</v>
      </c>
    </row>
    <row r="991" ht="15.75" customHeight="1">
      <c r="A991" s="92" t="s">
        <v>2632</v>
      </c>
      <c r="B991" s="87" t="s">
        <v>184</v>
      </c>
      <c r="C991" s="88" t="s">
        <v>2633</v>
      </c>
      <c r="D991" s="88" t="s">
        <v>51</v>
      </c>
      <c r="E991" s="88">
        <v>20.0</v>
      </c>
      <c r="F991" s="89">
        <v>116.0</v>
      </c>
      <c r="G991" s="90" t="s">
        <v>53</v>
      </c>
      <c r="H991" s="91">
        <v>46266.0</v>
      </c>
      <c r="I991" s="92" t="s">
        <v>17</v>
      </c>
      <c r="J991" s="92" t="s">
        <v>54</v>
      </c>
      <c r="K991" s="92" t="s">
        <v>372</v>
      </c>
      <c r="L991" s="92" t="s">
        <v>67</v>
      </c>
      <c r="M991" s="90" t="s">
        <v>104</v>
      </c>
      <c r="N991" s="92" t="s">
        <v>20</v>
      </c>
      <c r="O991" s="87" t="s">
        <v>69</v>
      </c>
      <c r="P991" s="87"/>
      <c r="Q991" s="87" t="s">
        <v>113</v>
      </c>
      <c r="R991" s="93" t="s">
        <v>503</v>
      </c>
      <c r="S991" s="129"/>
      <c r="T991" s="87"/>
      <c r="U991" s="94" t="str">
        <f t="array" ref="U991">IFERROR(INDEX(DFD!$D$2:$D$1048791,MATCH($Q991,DFD!$B$2:$B$1048791,0)),"")</f>
        <v/>
      </c>
      <c r="V991" s="94" t="str">
        <f t="array" ref="V991">IFERROR(INDEX(DFD!$F$2:$F$1048791,MATCH($Q991,DFD!$B$2:$B$1048791,0)),"")</f>
        <v/>
      </c>
      <c r="W991" s="97" t="str">
        <f t="array" ref="W991">IFERROR(INDEX(DFD!$E$2:$E$1048791,MATCH($Q991,DFD!$B$2:$B$1048791,0)),"")</f>
        <v/>
      </c>
      <c r="X991" s="97" t="str">
        <f t="array" ref="X991">IFERROR(INDEX(DFD!$K$2:$K$1048791,MATCH($Q991,DFD!$B$2:$B$1048791,0)),"")</f>
        <v/>
      </c>
      <c r="Y991" s="97" t="str">
        <f t="array" ref="Y991">IFERROR(INDEX(DFD!$L$2:$L$1048790,MATCH($Q991,DFD!$B$2:$B$1048790,0)),"")</f>
        <v/>
      </c>
      <c r="Z991" s="97">
        <f t="shared" si="21"/>
        <v>45</v>
      </c>
      <c r="AA991" s="87"/>
      <c r="AB991" s="87" t="s">
        <v>78</v>
      </c>
      <c r="AC991" s="87"/>
      <c r="AD991" s="99">
        <v>46043.0</v>
      </c>
      <c r="AE991" s="100">
        <f t="shared" si="19"/>
        <v>1</v>
      </c>
    </row>
    <row r="992" ht="15.75" customHeight="1">
      <c r="A992" s="59" t="s">
        <v>2634</v>
      </c>
      <c r="B992" s="59" t="s">
        <v>64</v>
      </c>
      <c r="C992" s="60" t="s">
        <v>2635</v>
      </c>
      <c r="D992" s="60" t="s">
        <v>51</v>
      </c>
      <c r="E992" s="60">
        <v>1.0</v>
      </c>
      <c r="F992" s="72">
        <v>3000.0</v>
      </c>
      <c r="G992" s="73" t="s">
        <v>53</v>
      </c>
      <c r="H992" s="74">
        <v>46174.0</v>
      </c>
      <c r="I992" s="67" t="s">
        <v>17</v>
      </c>
      <c r="J992" s="67" t="s">
        <v>54</v>
      </c>
      <c r="K992" s="67" t="s">
        <v>66</v>
      </c>
      <c r="L992" s="67" t="s">
        <v>67</v>
      </c>
      <c r="M992" s="73" t="s">
        <v>132</v>
      </c>
      <c r="N992" s="67" t="s">
        <v>5</v>
      </c>
      <c r="O992" s="67" t="s">
        <v>89</v>
      </c>
      <c r="P992" s="59"/>
      <c r="Q992" s="59" t="s">
        <v>2161</v>
      </c>
      <c r="R992" s="76" t="s">
        <v>736</v>
      </c>
      <c r="S992" s="59"/>
      <c r="T992" s="59"/>
      <c r="U992" s="77" t="str">
        <f t="array" ref="U992">IFERROR(INDEX(DFD!$D$2:$D$1048791,MATCH($Q992,DFD!$B$2:$B$1048791,0)),"")</f>
        <v/>
      </c>
      <c r="V992" s="77" t="str">
        <f t="array" ref="V992">IFERROR(INDEX(DFD!$F$2:$F$1048791,MATCH($Q992,DFD!$B$2:$B$1048791,0)),"")</f>
        <v/>
      </c>
      <c r="W992" s="84" t="str">
        <f t="array" ref="W992">IFERROR(INDEX(DFD!$E$2:$E$1048791,MATCH($Q992,DFD!$B$2:$B$1048791,0)),"")</f>
        <v/>
      </c>
      <c r="X992" s="84" t="str">
        <f t="array" ref="X992">IFERROR(INDEX(DFD!$K$2:$K$1048791,MATCH($Q992,DFD!$B$2:$B$1048791,0)),"")</f>
        <v/>
      </c>
      <c r="Y992" s="84" t="str">
        <f t="array" ref="Y992">IFERROR(INDEX(DFD!$L$2:$L$1048790,MATCH($Q992,DFD!$B$2:$B$1048790,0)),"")</f>
        <v/>
      </c>
      <c r="Z992" s="84">
        <f t="shared" si="21"/>
        <v>45</v>
      </c>
      <c r="AA992" s="59"/>
      <c r="AB992" s="59" t="s">
        <v>78</v>
      </c>
      <c r="AC992" s="59"/>
      <c r="AD992" s="85">
        <v>46043.0</v>
      </c>
      <c r="AE992" s="86">
        <f t="shared" si="19"/>
        <v>1</v>
      </c>
    </row>
    <row r="993" ht="15.75" customHeight="1">
      <c r="A993" s="87" t="s">
        <v>2636</v>
      </c>
      <c r="B993" s="92" t="s">
        <v>101</v>
      </c>
      <c r="C993" s="88" t="s">
        <v>2637</v>
      </c>
      <c r="D993" s="116" t="s">
        <v>51</v>
      </c>
      <c r="E993" s="116">
        <v>4.0</v>
      </c>
      <c r="F993" s="137">
        <v>5760.0</v>
      </c>
      <c r="G993" s="90" t="s">
        <v>53</v>
      </c>
      <c r="H993" s="118">
        <v>46204.0</v>
      </c>
      <c r="I993" s="92" t="s">
        <v>18</v>
      </c>
      <c r="J993" s="92" t="s">
        <v>54</v>
      </c>
      <c r="K993" s="92" t="s">
        <v>83</v>
      </c>
      <c r="L993" s="92" t="s">
        <v>56</v>
      </c>
      <c r="M993" s="90" t="s">
        <v>112</v>
      </c>
      <c r="N993" s="92" t="s">
        <v>58</v>
      </c>
      <c r="O993" s="87" t="s">
        <v>69</v>
      </c>
      <c r="P993" s="87"/>
      <c r="Q993" s="87" t="s">
        <v>2161</v>
      </c>
      <c r="R993" s="93" t="s">
        <v>736</v>
      </c>
      <c r="S993" s="87"/>
      <c r="T993" s="87"/>
      <c r="U993" s="94" t="str">
        <f t="array" ref="U993">IFERROR(INDEX(DFD!$D$2:$D$1048791,MATCH($Q993,DFD!$B$2:$B$1048791,0)),"")</f>
        <v/>
      </c>
      <c r="V993" s="94" t="str">
        <f t="array" ref="V993">IFERROR(INDEX(DFD!$F$2:$F$1048791,MATCH($Q993,DFD!$B$2:$B$1048791,0)),"")</f>
        <v/>
      </c>
      <c r="W993" s="97" t="str">
        <f t="array" ref="W993">IFERROR(INDEX(DFD!$E$2:$E$1048791,MATCH($Q993,DFD!$B$2:$B$1048791,0)),"")</f>
        <v/>
      </c>
      <c r="X993" s="97" t="str">
        <f t="array" ref="X993">IFERROR(INDEX(DFD!$K$2:$K$1048791,MATCH($Q993,DFD!$B$2:$B$1048791,0)),"")</f>
        <v/>
      </c>
      <c r="Y993" s="97" t="str">
        <f t="array" ref="Y993">IFERROR(INDEX(DFD!$L$2:$L$1048790,MATCH($Q993,DFD!$B$2:$B$1048790,0)),"")</f>
        <v/>
      </c>
      <c r="Z993" s="97">
        <f t="shared" si="21"/>
        <v>45</v>
      </c>
      <c r="AA993" s="87"/>
      <c r="AB993" s="87" t="s">
        <v>78</v>
      </c>
      <c r="AC993" s="87"/>
      <c r="AD993" s="99">
        <v>46043.0</v>
      </c>
      <c r="AE993" s="100">
        <f t="shared" si="19"/>
        <v>1</v>
      </c>
    </row>
    <row r="994" ht="15.75" customHeight="1">
      <c r="A994" s="59" t="s">
        <v>2638</v>
      </c>
      <c r="B994" s="59" t="s">
        <v>105</v>
      </c>
      <c r="C994" s="60" t="s">
        <v>2639</v>
      </c>
      <c r="D994" s="60" t="s">
        <v>51</v>
      </c>
      <c r="E994" s="60">
        <v>5.0</v>
      </c>
      <c r="F994" s="72">
        <v>2950.0</v>
      </c>
      <c r="G994" s="73" t="s">
        <v>53</v>
      </c>
      <c r="H994" s="74">
        <v>46174.0</v>
      </c>
      <c r="I994" s="67" t="s">
        <v>17</v>
      </c>
      <c r="J994" s="67" t="s">
        <v>54</v>
      </c>
      <c r="K994" s="67" t="s">
        <v>66</v>
      </c>
      <c r="L994" s="67" t="s">
        <v>67</v>
      </c>
      <c r="M994" s="73" t="s">
        <v>68</v>
      </c>
      <c r="N994" s="67" t="s">
        <v>5</v>
      </c>
      <c r="O994" s="59" t="s">
        <v>69</v>
      </c>
      <c r="P994" s="59"/>
      <c r="Q994" s="59">
        <v>2025.0</v>
      </c>
      <c r="R994" s="76" t="s">
        <v>71</v>
      </c>
      <c r="S994" s="59"/>
      <c r="T994" s="59"/>
      <c r="U994" s="77" t="s">
        <v>1161</v>
      </c>
      <c r="V994" s="59" t="s">
        <v>98</v>
      </c>
      <c r="W994" s="84" t="str">
        <f t="array" ref="W994">IFERROR(INDEX(DFD!$E$2:$E$1048791,MATCH($Q994,DFD!$B$2:$B$1048791,0)),"")</f>
        <v/>
      </c>
      <c r="X994" s="84" t="str">
        <f t="array" ref="X994">IFERROR(INDEX(DFD!$K$2:$K$1048791,MATCH($Q994,DFD!$B$2:$B$1048791,0)),"")</f>
        <v/>
      </c>
      <c r="Y994" s="84" t="str">
        <f t="array" ref="Y994">IFERROR(INDEX(DFD!$L$2:$L$1048790,MATCH($Q994,DFD!$B$2:$B$1048790,0)),"")</f>
        <v/>
      </c>
      <c r="Z994" s="84">
        <f t="shared" si="21"/>
        <v>45</v>
      </c>
      <c r="AA994" s="59"/>
      <c r="AB994" s="59" t="s">
        <v>78</v>
      </c>
      <c r="AC994" s="59"/>
      <c r="AD994" s="85">
        <v>46043.0</v>
      </c>
      <c r="AE994" s="86">
        <f t="shared" si="19"/>
        <v>1</v>
      </c>
    </row>
    <row r="995" ht="15.75" customHeight="1">
      <c r="A995" s="87" t="s">
        <v>2640</v>
      </c>
      <c r="B995" s="87" t="s">
        <v>123</v>
      </c>
      <c r="C995" s="88" t="s">
        <v>2641</v>
      </c>
      <c r="D995" s="88" t="s">
        <v>51</v>
      </c>
      <c r="E995" s="88">
        <v>12.0</v>
      </c>
      <c r="F995" s="89">
        <v>14400.0</v>
      </c>
      <c r="G995" s="90" t="s">
        <v>53</v>
      </c>
      <c r="H995" s="91">
        <v>46235.0</v>
      </c>
      <c r="I995" s="92" t="s">
        <v>17</v>
      </c>
      <c r="J995" s="92" t="s">
        <v>54</v>
      </c>
      <c r="K995" s="92" t="s">
        <v>66</v>
      </c>
      <c r="L995" s="92" t="s">
        <v>67</v>
      </c>
      <c r="M995" s="90" t="s">
        <v>132</v>
      </c>
      <c r="N995" s="92" t="s">
        <v>58</v>
      </c>
      <c r="O995" s="92" t="s">
        <v>89</v>
      </c>
      <c r="P995" s="87"/>
      <c r="Q995" s="87" t="s">
        <v>705</v>
      </c>
      <c r="R995" s="93" t="s">
        <v>71</v>
      </c>
      <c r="S995" s="87"/>
      <c r="T995" s="87"/>
      <c r="U995" s="94" t="str">
        <f t="array" ref="U995">IFERROR(INDEX(DFD!$D$2:$D$1048791,MATCH($Q995,DFD!$B$2:$B$1048791,0)),"")</f>
        <v/>
      </c>
      <c r="V995" s="94" t="str">
        <f t="array" ref="V995">IFERROR(INDEX(DFD!$F$2:$F$1048791,MATCH($Q995,DFD!$B$2:$B$1048791,0)),"")</f>
        <v/>
      </c>
      <c r="W995" s="97" t="str">
        <f t="array" ref="W995">IFERROR(INDEX(DFD!$E$2:$E$1048791,MATCH($Q995,DFD!$B$2:$B$1048791,0)),"")</f>
        <v/>
      </c>
      <c r="X995" s="97" t="str">
        <f t="array" ref="X995">IFERROR(INDEX(DFD!$K$2:$K$1048791,MATCH($Q995,DFD!$B$2:$B$1048791,0)),"")</f>
        <v/>
      </c>
      <c r="Y995" s="97" t="str">
        <f t="array" ref="Y995">IFERROR(INDEX(DFD!$L$2:$L$1048790,MATCH($Q995,DFD!$B$2:$B$1048790,0)),"")</f>
        <v/>
      </c>
      <c r="Z995" s="97">
        <f t="shared" si="21"/>
        <v>45</v>
      </c>
      <c r="AA995" s="87"/>
      <c r="AB995" s="87" t="s">
        <v>78</v>
      </c>
      <c r="AC995" s="87"/>
      <c r="AD995" s="99">
        <v>46043.0</v>
      </c>
      <c r="AE995" s="100">
        <f t="shared" si="19"/>
        <v>1</v>
      </c>
    </row>
    <row r="996" ht="15.75" customHeight="1">
      <c r="A996" s="59" t="s">
        <v>2642</v>
      </c>
      <c r="B996" s="59" t="s">
        <v>94</v>
      </c>
      <c r="C996" s="60" t="s">
        <v>2641</v>
      </c>
      <c r="D996" s="60" t="s">
        <v>51</v>
      </c>
      <c r="E996" s="60">
        <v>6.0</v>
      </c>
      <c r="F996" s="72">
        <v>7200.0</v>
      </c>
      <c r="G996" s="73" t="s">
        <v>53</v>
      </c>
      <c r="H996" s="74">
        <v>46204.0</v>
      </c>
      <c r="I996" s="67" t="s">
        <v>17</v>
      </c>
      <c r="J996" s="67" t="s">
        <v>54</v>
      </c>
      <c r="K996" s="67" t="s">
        <v>66</v>
      </c>
      <c r="L996" s="67" t="s">
        <v>67</v>
      </c>
      <c r="M996" s="73" t="s">
        <v>132</v>
      </c>
      <c r="N996" s="67" t="s">
        <v>58</v>
      </c>
      <c r="O996" s="59" t="s">
        <v>69</v>
      </c>
      <c r="P996" s="59"/>
      <c r="Q996" s="59" t="s">
        <v>705</v>
      </c>
      <c r="R996" s="76" t="s">
        <v>71</v>
      </c>
      <c r="S996" s="59"/>
      <c r="T996" s="59"/>
      <c r="U996" s="77" t="str">
        <f t="array" ref="U996">IFERROR(INDEX(DFD!$D$2:$D$1048791,MATCH($Q996,DFD!$B$2:$B$1048791,0)),"")</f>
        <v/>
      </c>
      <c r="V996" s="77" t="str">
        <f t="array" ref="V996">IFERROR(INDEX(DFD!$F$2:$F$1048791,MATCH($Q996,DFD!$B$2:$B$1048791,0)),"")</f>
        <v/>
      </c>
      <c r="W996" s="84" t="str">
        <f t="array" ref="W996">IFERROR(INDEX(DFD!$E$2:$E$1048791,MATCH($Q996,DFD!$B$2:$B$1048791,0)),"")</f>
        <v/>
      </c>
      <c r="X996" s="84" t="str">
        <f t="array" ref="X996">IFERROR(INDEX(DFD!$K$2:$K$1048791,MATCH($Q996,DFD!$B$2:$B$1048791,0)),"")</f>
        <v/>
      </c>
      <c r="Y996" s="84" t="str">
        <f t="array" ref="Y996">IFERROR(INDEX(DFD!$L$2:$L$1048790,MATCH($Q996,DFD!$B$2:$B$1048790,0)),"")</f>
        <v/>
      </c>
      <c r="Z996" s="84">
        <f t="shared" si="21"/>
        <v>45</v>
      </c>
      <c r="AA996" s="59"/>
      <c r="AB996" s="59" t="s">
        <v>78</v>
      </c>
      <c r="AC996" s="59"/>
      <c r="AD996" s="85">
        <v>46043.0</v>
      </c>
      <c r="AE996" s="86">
        <f t="shared" si="19"/>
        <v>1</v>
      </c>
    </row>
    <row r="997" ht="15.75" customHeight="1">
      <c r="A997" s="87" t="s">
        <v>2643</v>
      </c>
      <c r="B997" s="92" t="s">
        <v>355</v>
      </c>
      <c r="C997" s="88" t="s">
        <v>2641</v>
      </c>
      <c r="D997" s="116" t="s">
        <v>51</v>
      </c>
      <c r="E997" s="116">
        <v>30.0</v>
      </c>
      <c r="F997" s="137">
        <v>36000.0</v>
      </c>
      <c r="G997" s="90" t="s">
        <v>53</v>
      </c>
      <c r="H997" s="118">
        <v>46235.0</v>
      </c>
      <c r="I997" s="92" t="s">
        <v>17</v>
      </c>
      <c r="J997" s="92" t="s">
        <v>54</v>
      </c>
      <c r="K997" s="92" t="s">
        <v>66</v>
      </c>
      <c r="L997" s="92" t="s">
        <v>56</v>
      </c>
      <c r="M997" s="90" t="s">
        <v>104</v>
      </c>
      <c r="N997" s="92" t="s">
        <v>58</v>
      </c>
      <c r="O997" s="87" t="s">
        <v>69</v>
      </c>
      <c r="P997" s="87"/>
      <c r="Q997" s="87" t="s">
        <v>52</v>
      </c>
      <c r="R997" s="93" t="s">
        <v>71</v>
      </c>
      <c r="S997" s="87"/>
      <c r="T997" s="87"/>
      <c r="U997" s="94" t="str">
        <f t="array" ref="U997">IFERROR(INDEX(DFD!$D$2:$D$1048791,MATCH($Q997,DFD!$B$2:$B$1048791,0)),"")</f>
        <v/>
      </c>
      <c r="V997" s="94" t="str">
        <f t="array" ref="V997">IFERROR(INDEX(DFD!$F$2:$F$1048791,MATCH($Q997,DFD!$B$2:$B$1048791,0)),"")</f>
        <v/>
      </c>
      <c r="W997" s="97" t="str">
        <f t="array" ref="W997">IFERROR(INDEX(DFD!$E$2:$E$1048791,MATCH($Q997,DFD!$B$2:$B$1048791,0)),"")</f>
        <v/>
      </c>
      <c r="X997" s="97" t="str">
        <f t="array" ref="X997">IFERROR(INDEX(DFD!$K$2:$K$1048791,MATCH($Q997,DFD!$B$2:$B$1048791,0)),"")</f>
        <v/>
      </c>
      <c r="Y997" s="97" t="str">
        <f t="array" ref="Y997">IFERROR(INDEX(DFD!$L$2:$L$1048790,MATCH($Q997,DFD!$B$2:$B$1048790,0)),"")</f>
        <v/>
      </c>
      <c r="Z997" s="97">
        <f t="shared" si="21"/>
        <v>45</v>
      </c>
      <c r="AA997" s="87"/>
      <c r="AB997" s="87" t="s">
        <v>72</v>
      </c>
      <c r="AC997" s="87"/>
      <c r="AD997" s="99">
        <v>46043.0</v>
      </c>
      <c r="AE997" s="100">
        <f t="shared" si="19"/>
        <v>1</v>
      </c>
    </row>
    <row r="998" ht="15.75" customHeight="1">
      <c r="A998" s="59" t="s">
        <v>2644</v>
      </c>
      <c r="B998" s="59" t="s">
        <v>94</v>
      </c>
      <c r="C998" s="60" t="s">
        <v>2645</v>
      </c>
      <c r="D998" s="60" t="s">
        <v>51</v>
      </c>
      <c r="E998" s="60">
        <v>3.0</v>
      </c>
      <c r="F998" s="72">
        <v>3600.0</v>
      </c>
      <c r="G998" s="73" t="s">
        <v>53</v>
      </c>
      <c r="H998" s="74">
        <v>46174.0</v>
      </c>
      <c r="I998" s="67" t="s">
        <v>17</v>
      </c>
      <c r="J998" s="67" t="s">
        <v>54</v>
      </c>
      <c r="K998" s="67" t="s">
        <v>66</v>
      </c>
      <c r="L998" s="67" t="s">
        <v>67</v>
      </c>
      <c r="M998" s="73" t="s">
        <v>112</v>
      </c>
      <c r="N998" s="67" t="s">
        <v>5</v>
      </c>
      <c r="O998" s="67" t="s">
        <v>89</v>
      </c>
      <c r="P998" s="59"/>
      <c r="Q998" s="59" t="s">
        <v>709</v>
      </c>
      <c r="R998" s="76" t="s">
        <v>71</v>
      </c>
      <c r="S998" s="59"/>
      <c r="T998" s="59"/>
      <c r="U998" s="77" t="str">
        <f t="array" ref="U998">IFERROR(INDEX(DFD!$D$2:$D$1048791,MATCH($Q998,DFD!$B$2:$B$1048791,0)),"")</f>
        <v/>
      </c>
      <c r="V998" s="77" t="s">
        <v>280</v>
      </c>
      <c r="W998" s="84" t="str">
        <f t="array" ref="W998">IFERROR(INDEX(DFD!$E$2:$E$1048791,MATCH($Q998,DFD!$B$2:$B$1048791,0)),"")</f>
        <v/>
      </c>
      <c r="X998" s="84" t="str">
        <f t="array" ref="X998">IFERROR(INDEX(DFD!$K$2:$K$1048791,MATCH($Q998,DFD!$B$2:$B$1048791,0)),"")</f>
        <v/>
      </c>
      <c r="Y998" s="84" t="str">
        <f t="array" ref="Y998">IFERROR(INDEX(DFD!$L$2:$L$1048790,MATCH($Q998,DFD!$B$2:$B$1048790,0)),"")</f>
        <v/>
      </c>
      <c r="Z998" s="84">
        <f t="shared" si="21"/>
        <v>45</v>
      </c>
      <c r="AA998" s="59"/>
      <c r="AB998" s="59" t="s">
        <v>78</v>
      </c>
      <c r="AC998" s="59"/>
      <c r="AD998" s="85">
        <v>46043.0</v>
      </c>
      <c r="AE998" s="86">
        <f t="shared" si="19"/>
        <v>1</v>
      </c>
    </row>
    <row r="999" ht="15.75" customHeight="1">
      <c r="A999" s="92" t="s">
        <v>2646</v>
      </c>
      <c r="B999" s="87" t="s">
        <v>184</v>
      </c>
      <c r="C999" s="88" t="s">
        <v>2647</v>
      </c>
      <c r="D999" s="88" t="s">
        <v>2648</v>
      </c>
      <c r="E999" s="88">
        <v>300.0</v>
      </c>
      <c r="F999" s="89">
        <v>5550.0</v>
      </c>
      <c r="G999" s="90" t="s">
        <v>53</v>
      </c>
      <c r="H999" s="91">
        <v>46204.0</v>
      </c>
      <c r="I999" s="92" t="s">
        <v>17</v>
      </c>
      <c r="J999" s="92" t="s">
        <v>54</v>
      </c>
      <c r="K999" s="92" t="s">
        <v>66</v>
      </c>
      <c r="L999" s="92" t="s">
        <v>67</v>
      </c>
      <c r="M999" s="90" t="s">
        <v>68</v>
      </c>
      <c r="N999" s="92" t="s">
        <v>20</v>
      </c>
      <c r="O999" s="87" t="s">
        <v>69</v>
      </c>
      <c r="P999" s="87"/>
      <c r="Q999" s="87" t="s">
        <v>191</v>
      </c>
      <c r="R999" s="93" t="s">
        <v>187</v>
      </c>
      <c r="S999" s="87"/>
      <c r="T999" s="87"/>
      <c r="U999" s="94" t="str">
        <f t="array" ref="U999">IFERROR(INDEX(DFD!$D$2:$D$1048791,MATCH($Q999,DFD!$B$2:$B$1048791,0)),"")</f>
        <v/>
      </c>
      <c r="V999" s="94" t="str">
        <f t="array" ref="V999">IFERROR(INDEX(DFD!$F$2:$F$1048791,MATCH($Q999,DFD!$B$2:$B$1048791,0)),"")</f>
        <v/>
      </c>
      <c r="W999" s="97" t="str">
        <f t="array" ref="W999">IFERROR(INDEX(DFD!$E$2:$E$1048791,MATCH($Q999,DFD!$B$2:$B$1048791,0)),"")</f>
        <v/>
      </c>
      <c r="X999" s="97" t="str">
        <f t="array" ref="X999">IFERROR(INDEX(DFD!$K$2:$K$1048791,MATCH($Q999,DFD!$B$2:$B$1048791,0)),"")</f>
        <v/>
      </c>
      <c r="Y999" s="97" t="str">
        <f t="array" ref="Y999">IFERROR(INDEX(DFD!$L$2:$L$1048790,MATCH($Q999,DFD!$B$2:$B$1048790,0)),"")</f>
        <v/>
      </c>
      <c r="Z999" s="97">
        <f t="shared" si="21"/>
        <v>45</v>
      </c>
      <c r="AA999" s="87"/>
      <c r="AB999" s="87" t="s">
        <v>78</v>
      </c>
      <c r="AC999" s="87"/>
      <c r="AD999" s="99">
        <v>46043.0</v>
      </c>
      <c r="AE999" s="100">
        <f t="shared" si="19"/>
        <v>1</v>
      </c>
    </row>
    <row r="1000" ht="15.75" customHeight="1">
      <c r="A1000" s="67" t="s">
        <v>2649</v>
      </c>
      <c r="B1000" s="59" t="s">
        <v>184</v>
      </c>
      <c r="C1000" s="60" t="s">
        <v>2650</v>
      </c>
      <c r="D1000" s="60" t="s">
        <v>51</v>
      </c>
      <c r="E1000" s="60">
        <v>250.0</v>
      </c>
      <c r="F1000" s="72">
        <v>1847.5</v>
      </c>
      <c r="G1000" s="73" t="s">
        <v>53</v>
      </c>
      <c r="H1000" s="74">
        <v>46174.0</v>
      </c>
      <c r="I1000" s="67" t="s">
        <v>17</v>
      </c>
      <c r="J1000" s="67" t="s">
        <v>54</v>
      </c>
      <c r="K1000" s="67" t="s">
        <v>66</v>
      </c>
      <c r="L1000" s="67" t="s">
        <v>67</v>
      </c>
      <c r="M1000" s="73" t="s">
        <v>68</v>
      </c>
      <c r="N1000" s="67" t="s">
        <v>20</v>
      </c>
      <c r="O1000" s="59" t="s">
        <v>69</v>
      </c>
      <c r="P1000" s="59"/>
      <c r="Q1000" s="59" t="s">
        <v>191</v>
      </c>
      <c r="R1000" s="76" t="s">
        <v>187</v>
      </c>
      <c r="S1000" s="59"/>
      <c r="T1000" s="59"/>
      <c r="U1000" s="77" t="str">
        <f t="array" ref="U1000">IFERROR(INDEX(DFD!$D$2:$D$1048791,MATCH($Q1000,DFD!$B$2:$B$1048791,0)),"")</f>
        <v/>
      </c>
      <c r="V1000" s="77" t="str">
        <f t="array" ref="V1000">IFERROR(INDEX(DFD!$F$2:$F$1048791,MATCH($Q1000,DFD!$B$2:$B$1048791,0)),"")</f>
        <v/>
      </c>
      <c r="W1000" s="84" t="str">
        <f t="array" ref="W1000">IFERROR(INDEX(DFD!$E$2:$E$1048791,MATCH($Q1000,DFD!$B$2:$B$1048791,0)),"")</f>
        <v/>
      </c>
      <c r="X1000" s="84" t="str">
        <f t="array" ref="X1000">IFERROR(INDEX(DFD!$K$2:$K$1048791,MATCH($Q1000,DFD!$B$2:$B$1048791,0)),"")</f>
        <v/>
      </c>
      <c r="Y1000" s="84" t="str">
        <f t="array" ref="Y1000">IFERROR(INDEX(DFD!$L$2:$L$1048790,MATCH($Q1000,DFD!$B$2:$B$1048790,0)),"")</f>
        <v/>
      </c>
      <c r="Z1000" s="84">
        <f t="shared" si="21"/>
        <v>45</v>
      </c>
      <c r="AA1000" s="59"/>
      <c r="AB1000" s="59" t="s">
        <v>78</v>
      </c>
      <c r="AC1000" s="59"/>
      <c r="AD1000" s="85">
        <v>46043.0</v>
      </c>
      <c r="AE1000" s="86">
        <f t="shared" si="19"/>
        <v>1</v>
      </c>
    </row>
    <row r="1001" ht="15.75" customHeight="1">
      <c r="A1001" s="92" t="s">
        <v>2651</v>
      </c>
      <c r="B1001" s="87" t="s">
        <v>184</v>
      </c>
      <c r="C1001" s="88" t="s">
        <v>2652</v>
      </c>
      <c r="D1001" s="88" t="s">
        <v>51</v>
      </c>
      <c r="E1001" s="88">
        <v>300.0</v>
      </c>
      <c r="F1001" s="89">
        <v>5640.0</v>
      </c>
      <c r="G1001" s="90" t="s">
        <v>53</v>
      </c>
      <c r="H1001" s="91">
        <v>46204.0</v>
      </c>
      <c r="I1001" s="92" t="s">
        <v>17</v>
      </c>
      <c r="J1001" s="92" t="s">
        <v>54</v>
      </c>
      <c r="K1001" s="92" t="s">
        <v>66</v>
      </c>
      <c r="L1001" s="92" t="s">
        <v>67</v>
      </c>
      <c r="M1001" s="90" t="s">
        <v>68</v>
      </c>
      <c r="N1001" s="92" t="s">
        <v>20</v>
      </c>
      <c r="O1001" s="92" t="s">
        <v>89</v>
      </c>
      <c r="P1001" s="87"/>
      <c r="Q1001" s="87" t="s">
        <v>191</v>
      </c>
      <c r="R1001" s="93" t="s">
        <v>187</v>
      </c>
      <c r="S1001" s="87"/>
      <c r="T1001" s="87"/>
      <c r="U1001" s="94" t="str">
        <f t="array" ref="U1001">IFERROR(INDEX(DFD!$D$2:$D$1048791,MATCH($Q1001,DFD!$B$2:$B$1048791,0)),"")</f>
        <v/>
      </c>
      <c r="V1001" s="94" t="str">
        <f t="array" ref="V1001">IFERROR(INDEX(DFD!$F$2:$F$1048791,MATCH($Q1001,DFD!$B$2:$B$1048791,0)),"")</f>
        <v/>
      </c>
      <c r="W1001" s="97" t="str">
        <f t="array" ref="W1001">IFERROR(INDEX(DFD!$E$2:$E$1048791,MATCH($Q1001,DFD!$B$2:$B$1048791,0)),"")</f>
        <v/>
      </c>
      <c r="X1001" s="97" t="str">
        <f t="array" ref="X1001">IFERROR(INDEX(DFD!$K$2:$K$1048791,MATCH($Q1001,DFD!$B$2:$B$1048791,0)),"")</f>
        <v/>
      </c>
      <c r="Y1001" s="97" t="str">
        <f t="array" ref="Y1001">IFERROR(INDEX(DFD!$L$2:$L$1048790,MATCH($Q1001,DFD!$B$2:$B$1048790,0)),"")</f>
        <v/>
      </c>
      <c r="Z1001" s="97">
        <f t="shared" si="21"/>
        <v>45</v>
      </c>
      <c r="AA1001" s="87"/>
      <c r="AB1001" s="87" t="s">
        <v>78</v>
      </c>
      <c r="AC1001" s="87"/>
      <c r="AD1001" s="99">
        <v>46043.0</v>
      </c>
      <c r="AE1001" s="100">
        <f t="shared" si="19"/>
        <v>1</v>
      </c>
    </row>
    <row r="1002" ht="15.75" customHeight="1">
      <c r="A1002" s="59" t="s">
        <v>2653</v>
      </c>
      <c r="B1002" s="59" t="s">
        <v>123</v>
      </c>
      <c r="C1002" s="60" t="s">
        <v>2654</v>
      </c>
      <c r="D1002" s="60" t="s">
        <v>51</v>
      </c>
      <c r="E1002" s="60">
        <v>12.0</v>
      </c>
      <c r="F1002" s="72">
        <v>1668.0</v>
      </c>
      <c r="G1002" s="73" t="s">
        <v>53</v>
      </c>
      <c r="H1002" s="74">
        <v>46174.0</v>
      </c>
      <c r="I1002" s="67" t="s">
        <v>17</v>
      </c>
      <c r="J1002" s="67" t="s">
        <v>54</v>
      </c>
      <c r="K1002" s="67" t="s">
        <v>66</v>
      </c>
      <c r="L1002" s="67" t="s">
        <v>67</v>
      </c>
      <c r="M1002" s="73" t="s">
        <v>68</v>
      </c>
      <c r="N1002" s="67" t="s">
        <v>58</v>
      </c>
      <c r="O1002" s="59" t="s">
        <v>69</v>
      </c>
      <c r="P1002" s="59"/>
      <c r="Q1002" s="59" t="s">
        <v>1117</v>
      </c>
      <c r="R1002" s="76" t="s">
        <v>71</v>
      </c>
      <c r="S1002" s="59"/>
      <c r="T1002" s="59"/>
      <c r="U1002" s="77" t="str">
        <f t="array" ref="U1002">IFERROR(INDEX(DFD!$D$2:$D$1048791,MATCH($Q1002,DFD!$B$2:$B$1048791,0)),"")</f>
        <v/>
      </c>
      <c r="V1002" s="77" t="str">
        <f t="array" ref="V1002">IFERROR(INDEX(DFD!$F$2:$F$1048791,MATCH($Q1002,DFD!$B$2:$B$1048791,0)),"")</f>
        <v/>
      </c>
      <c r="W1002" s="84" t="str">
        <f t="array" ref="W1002">IFERROR(INDEX(DFD!$E$2:$E$1048791,MATCH($Q1002,DFD!$B$2:$B$1048791,0)),"")</f>
        <v/>
      </c>
      <c r="X1002" s="84" t="str">
        <f t="array" ref="X1002">IFERROR(INDEX(DFD!$K$2:$K$1048791,MATCH($Q1002,DFD!$B$2:$B$1048791,0)),"")</f>
        <v/>
      </c>
      <c r="Y1002" s="84" t="str">
        <f t="array" ref="Y1002">IFERROR(INDEX(DFD!$L$2:$L$1048790,MATCH($Q1002,DFD!$B$2:$B$1048790,0)),"")</f>
        <v/>
      </c>
      <c r="Z1002" s="84">
        <f t="shared" si="21"/>
        <v>45</v>
      </c>
      <c r="AA1002" s="59"/>
      <c r="AB1002" s="59" t="s">
        <v>78</v>
      </c>
      <c r="AC1002" s="59"/>
      <c r="AD1002" s="85">
        <v>46043.0</v>
      </c>
      <c r="AE1002" s="86">
        <f t="shared" si="19"/>
        <v>1</v>
      </c>
    </row>
    <row r="1003" ht="15.75" customHeight="1">
      <c r="A1003" s="87" t="s">
        <v>2655</v>
      </c>
      <c r="B1003" s="87" t="s">
        <v>94</v>
      </c>
      <c r="C1003" s="88" t="s">
        <v>2654</v>
      </c>
      <c r="D1003" s="88" t="s">
        <v>51</v>
      </c>
      <c r="E1003" s="88">
        <v>10.0</v>
      </c>
      <c r="F1003" s="89">
        <v>1390.0</v>
      </c>
      <c r="G1003" s="90" t="s">
        <v>53</v>
      </c>
      <c r="H1003" s="91">
        <v>46174.0</v>
      </c>
      <c r="I1003" s="92" t="s">
        <v>17</v>
      </c>
      <c r="J1003" s="92" t="s">
        <v>54</v>
      </c>
      <c r="K1003" s="92" t="s">
        <v>66</v>
      </c>
      <c r="L1003" s="92" t="s">
        <v>67</v>
      </c>
      <c r="M1003" s="90" t="s">
        <v>68</v>
      </c>
      <c r="N1003" s="92" t="s">
        <v>58</v>
      </c>
      <c r="O1003" s="87" t="s">
        <v>69</v>
      </c>
      <c r="P1003" s="87"/>
      <c r="Q1003" s="87" t="s">
        <v>1117</v>
      </c>
      <c r="R1003" s="93" t="s">
        <v>71</v>
      </c>
      <c r="S1003" s="87"/>
      <c r="T1003" s="87"/>
      <c r="U1003" s="94" t="str">
        <f t="array" ref="U1003">IFERROR(INDEX(DFD!$D$2:$D$1048791,MATCH($Q1003,DFD!$B$2:$B$1048791,0)),"")</f>
        <v/>
      </c>
      <c r="V1003" s="94" t="str">
        <f t="array" ref="V1003">IFERROR(INDEX(DFD!$F$2:$F$1048791,MATCH($Q1003,DFD!$B$2:$B$1048791,0)),"")</f>
        <v/>
      </c>
      <c r="W1003" s="97" t="str">
        <f t="array" ref="W1003">IFERROR(INDEX(DFD!$E$2:$E$1048791,MATCH($Q1003,DFD!$B$2:$B$1048791,0)),"")</f>
        <v/>
      </c>
      <c r="X1003" s="97" t="str">
        <f t="array" ref="X1003">IFERROR(INDEX(DFD!$K$2:$K$1048791,MATCH($Q1003,DFD!$B$2:$B$1048791,0)),"")</f>
        <v/>
      </c>
      <c r="Y1003" s="97" t="str">
        <f t="array" ref="Y1003">IFERROR(INDEX(DFD!$L$2:$L$1048790,MATCH($Q1003,DFD!$B$2:$B$1048790,0)),"")</f>
        <v/>
      </c>
      <c r="Z1003" s="97">
        <f t="shared" si="21"/>
        <v>45</v>
      </c>
      <c r="AA1003" s="87"/>
      <c r="AB1003" s="87" t="s">
        <v>78</v>
      </c>
      <c r="AC1003" s="87"/>
      <c r="AD1003" s="99">
        <v>46043.0</v>
      </c>
      <c r="AE1003" s="100">
        <f t="shared" si="19"/>
        <v>1</v>
      </c>
    </row>
    <row r="1004" ht="15.75" customHeight="1">
      <c r="A1004" s="59" t="s">
        <v>2656</v>
      </c>
      <c r="B1004" s="59" t="s">
        <v>101</v>
      </c>
      <c r="C1004" s="60" t="s">
        <v>2657</v>
      </c>
      <c r="D1004" s="60" t="s">
        <v>51</v>
      </c>
      <c r="E1004" s="60">
        <v>30.0</v>
      </c>
      <c r="F1004" s="72">
        <v>21000.0</v>
      </c>
      <c r="G1004" s="73" t="s">
        <v>53</v>
      </c>
      <c r="H1004" s="74">
        <v>46235.0</v>
      </c>
      <c r="I1004" s="67" t="s">
        <v>17</v>
      </c>
      <c r="J1004" s="67" t="s">
        <v>54</v>
      </c>
      <c r="K1004" s="67" t="s">
        <v>66</v>
      </c>
      <c r="L1004" s="67" t="s">
        <v>56</v>
      </c>
      <c r="M1004" s="73" t="s">
        <v>132</v>
      </c>
      <c r="N1004" s="67" t="s">
        <v>58</v>
      </c>
      <c r="O1004" s="67" t="s">
        <v>89</v>
      </c>
      <c r="P1004" s="59"/>
      <c r="Q1004" s="59" t="s">
        <v>1117</v>
      </c>
      <c r="R1004" s="76" t="s">
        <v>71</v>
      </c>
      <c r="S1004" s="59"/>
      <c r="T1004" s="59"/>
      <c r="U1004" s="77" t="str">
        <f t="array" ref="U1004">IFERROR(INDEX(DFD!$D$2:$D$1048791,MATCH($Q1004,DFD!$B$2:$B$1048791,0)),"")</f>
        <v/>
      </c>
      <c r="V1004" s="77" t="str">
        <f t="array" ref="V1004">IFERROR(INDEX(DFD!$F$2:$F$1048791,MATCH($Q1004,DFD!$B$2:$B$1048791,0)),"")</f>
        <v/>
      </c>
      <c r="W1004" s="84" t="str">
        <f t="array" ref="W1004">IFERROR(INDEX(DFD!$E$2:$E$1048791,MATCH($Q1004,DFD!$B$2:$B$1048791,0)),"")</f>
        <v/>
      </c>
      <c r="X1004" s="84" t="str">
        <f t="array" ref="X1004">IFERROR(INDEX(DFD!$K$2:$K$1048791,MATCH($Q1004,DFD!$B$2:$B$1048791,0)),"")</f>
        <v/>
      </c>
      <c r="Y1004" s="84" t="str">
        <f t="array" ref="Y1004">IFERROR(INDEX(DFD!$L$2:$L$1048790,MATCH($Q1004,DFD!$B$2:$B$1048790,0)),"")</f>
        <v/>
      </c>
      <c r="Z1004" s="84">
        <f t="shared" si="21"/>
        <v>45</v>
      </c>
      <c r="AA1004" s="59"/>
      <c r="AB1004" s="59" t="s">
        <v>78</v>
      </c>
      <c r="AC1004" s="59"/>
      <c r="AD1004" s="85">
        <v>46043.0</v>
      </c>
      <c r="AE1004" s="86">
        <f t="shared" si="19"/>
        <v>1</v>
      </c>
    </row>
    <row r="1005" ht="15.75" customHeight="1">
      <c r="A1005" s="87" t="s">
        <v>2658</v>
      </c>
      <c r="B1005" s="87" t="s">
        <v>355</v>
      </c>
      <c r="C1005" s="88" t="s">
        <v>2657</v>
      </c>
      <c r="D1005" s="88" t="s">
        <v>51</v>
      </c>
      <c r="E1005" s="88">
        <v>50.0</v>
      </c>
      <c r="F1005" s="89">
        <v>35000.0</v>
      </c>
      <c r="G1005" s="90" t="s">
        <v>53</v>
      </c>
      <c r="H1005" s="91">
        <v>46235.0</v>
      </c>
      <c r="I1005" s="92" t="s">
        <v>17</v>
      </c>
      <c r="J1005" s="92" t="s">
        <v>54</v>
      </c>
      <c r="K1005" s="92" t="s">
        <v>66</v>
      </c>
      <c r="L1005" s="92" t="s">
        <v>56</v>
      </c>
      <c r="M1005" s="90" t="s">
        <v>68</v>
      </c>
      <c r="N1005" s="92" t="s">
        <v>58</v>
      </c>
      <c r="O1005" s="87" t="s">
        <v>69</v>
      </c>
      <c r="P1005" s="87"/>
      <c r="Q1005" s="87" t="s">
        <v>52</v>
      </c>
      <c r="R1005" s="93" t="s">
        <v>71</v>
      </c>
      <c r="S1005" s="87"/>
      <c r="T1005" s="87"/>
      <c r="U1005" s="94" t="str">
        <f t="array" ref="U1005">IFERROR(INDEX(DFD!$D$2:$D$1048791,MATCH($Q1005,DFD!$B$2:$B$1048791,0)),"")</f>
        <v/>
      </c>
      <c r="V1005" s="94" t="str">
        <f t="array" ref="V1005">IFERROR(INDEX(DFD!$F$2:$F$1048791,MATCH($Q1005,DFD!$B$2:$B$1048791,0)),"")</f>
        <v/>
      </c>
      <c r="W1005" s="97" t="str">
        <f t="array" ref="W1005">IFERROR(INDEX(DFD!$E$2:$E$1048791,MATCH($Q1005,DFD!$B$2:$B$1048791,0)),"")</f>
        <v/>
      </c>
      <c r="X1005" s="97" t="str">
        <f t="array" ref="X1005">IFERROR(INDEX(DFD!$K$2:$K$1048791,MATCH($Q1005,DFD!$B$2:$B$1048791,0)),"")</f>
        <v/>
      </c>
      <c r="Y1005" s="97" t="str">
        <f t="array" ref="Y1005">IFERROR(INDEX(DFD!$L$2:$L$1048790,MATCH($Q1005,DFD!$B$2:$B$1048790,0)),"")</f>
        <v/>
      </c>
      <c r="Z1005" s="97">
        <f t="shared" si="21"/>
        <v>45</v>
      </c>
      <c r="AA1005" s="87"/>
      <c r="AB1005" s="87" t="s">
        <v>72</v>
      </c>
      <c r="AC1005" s="87"/>
      <c r="AD1005" s="99">
        <v>46043.0</v>
      </c>
      <c r="AE1005" s="100">
        <f t="shared" si="19"/>
        <v>1</v>
      </c>
    </row>
    <row r="1006" ht="15.75" customHeight="1">
      <c r="A1006" s="67" t="s">
        <v>2659</v>
      </c>
      <c r="B1006" s="59" t="s">
        <v>184</v>
      </c>
      <c r="C1006" s="60" t="s">
        <v>2660</v>
      </c>
      <c r="D1006" s="60" t="s">
        <v>1326</v>
      </c>
      <c r="E1006" s="60">
        <v>300.0</v>
      </c>
      <c r="F1006" s="72">
        <v>17736.0</v>
      </c>
      <c r="G1006" s="73" t="s">
        <v>53</v>
      </c>
      <c r="H1006" s="74">
        <v>46235.0</v>
      </c>
      <c r="I1006" s="67" t="s">
        <v>17</v>
      </c>
      <c r="J1006" s="67" t="s">
        <v>54</v>
      </c>
      <c r="K1006" s="67" t="s">
        <v>66</v>
      </c>
      <c r="L1006" s="67" t="s">
        <v>67</v>
      </c>
      <c r="M1006" s="73" t="s">
        <v>57</v>
      </c>
      <c r="N1006" s="67" t="s">
        <v>20</v>
      </c>
      <c r="O1006" s="59" t="s">
        <v>69</v>
      </c>
      <c r="P1006" s="59"/>
      <c r="Q1006" s="59" t="s">
        <v>1399</v>
      </c>
      <c r="R1006" s="76" t="s">
        <v>187</v>
      </c>
      <c r="S1006" s="59"/>
      <c r="T1006" s="59"/>
      <c r="U1006" s="77" t="str">
        <f t="array" ref="U1006">IFERROR(INDEX(DFD!$D$2:$D$1048791,MATCH($Q1006,DFD!$B$2:$B$1048791,0)),"")</f>
        <v/>
      </c>
      <c r="V1006" s="77" t="str">
        <f t="array" ref="V1006">IFERROR(INDEX(DFD!$F$2:$F$1048791,MATCH($Q1006,DFD!$B$2:$B$1048791,0)),"")</f>
        <v/>
      </c>
      <c r="W1006" s="84" t="str">
        <f t="array" ref="W1006">IFERROR(INDEX(DFD!$E$2:$E$1048791,MATCH($Q1006,DFD!$B$2:$B$1048791,0)),"")</f>
        <v/>
      </c>
      <c r="X1006" s="84" t="str">
        <f t="array" ref="X1006">IFERROR(INDEX(DFD!$K$2:$K$1048791,MATCH($Q1006,DFD!$B$2:$B$1048791,0)),"")</f>
        <v/>
      </c>
      <c r="Y1006" s="84" t="str">
        <f t="array" ref="Y1006">IFERROR(INDEX(DFD!$L$2:$L$1048790,MATCH($Q1006,DFD!$B$2:$B$1048790,0)),"")</f>
        <v/>
      </c>
      <c r="Z1006" s="84">
        <f t="shared" si="21"/>
        <v>45</v>
      </c>
      <c r="AA1006" s="59"/>
      <c r="AB1006" s="59" t="s">
        <v>78</v>
      </c>
      <c r="AC1006" s="59"/>
      <c r="AD1006" s="85">
        <v>46043.0</v>
      </c>
      <c r="AE1006" s="86">
        <f t="shared" si="19"/>
        <v>1</v>
      </c>
    </row>
    <row r="1007" ht="15.75" customHeight="1">
      <c r="A1007" s="92" t="s">
        <v>2661</v>
      </c>
      <c r="B1007" s="87" t="s">
        <v>184</v>
      </c>
      <c r="C1007" s="88" t="s">
        <v>2662</v>
      </c>
      <c r="D1007" s="88" t="s">
        <v>1326</v>
      </c>
      <c r="E1007" s="88">
        <v>150.0</v>
      </c>
      <c r="F1007" s="89">
        <v>5235.0</v>
      </c>
      <c r="G1007" s="90" t="s">
        <v>53</v>
      </c>
      <c r="H1007" s="91">
        <v>46204.0</v>
      </c>
      <c r="I1007" s="92" t="s">
        <v>17</v>
      </c>
      <c r="J1007" s="92" t="s">
        <v>54</v>
      </c>
      <c r="K1007" s="92" t="s">
        <v>66</v>
      </c>
      <c r="L1007" s="92" t="s">
        <v>67</v>
      </c>
      <c r="M1007" s="90" t="s">
        <v>57</v>
      </c>
      <c r="N1007" s="92" t="s">
        <v>20</v>
      </c>
      <c r="O1007" s="92" t="s">
        <v>89</v>
      </c>
      <c r="P1007" s="87"/>
      <c r="Q1007" s="87" t="s">
        <v>259</v>
      </c>
      <c r="R1007" s="93" t="s">
        <v>187</v>
      </c>
      <c r="S1007" s="87"/>
      <c r="T1007" s="87"/>
      <c r="U1007" s="94" t="str">
        <f t="array" ref="U1007">IFERROR(INDEX(DFD!$D$2:$D$1048791,MATCH($Q1007,DFD!$B$2:$B$1048791,0)),"")</f>
        <v/>
      </c>
      <c r="V1007" s="94" t="str">
        <f t="array" ref="V1007">IFERROR(INDEX(DFD!$F$2:$F$1048791,MATCH($Q1007,DFD!$B$2:$B$1048791,0)),"")</f>
        <v/>
      </c>
      <c r="W1007" s="97" t="str">
        <f t="array" ref="W1007">IFERROR(INDEX(DFD!$E$2:$E$1048791,MATCH($Q1007,DFD!$B$2:$B$1048791,0)),"")</f>
        <v/>
      </c>
      <c r="X1007" s="97" t="str">
        <f t="array" ref="X1007">IFERROR(INDEX(DFD!$K$2:$K$1048791,MATCH($Q1007,DFD!$B$2:$B$1048791,0)),"")</f>
        <v/>
      </c>
      <c r="Y1007" s="97" t="str">
        <f t="array" ref="Y1007">IFERROR(INDEX(DFD!$L$2:$L$1048790,MATCH($Q1007,DFD!$B$2:$B$1048790,0)),"")</f>
        <v/>
      </c>
      <c r="Z1007" s="97">
        <f t="shared" si="21"/>
        <v>45</v>
      </c>
      <c r="AA1007" s="87"/>
      <c r="AB1007" s="87" t="s">
        <v>78</v>
      </c>
      <c r="AC1007" s="87"/>
      <c r="AD1007" s="99">
        <v>46043.0</v>
      </c>
      <c r="AE1007" s="100">
        <f t="shared" si="19"/>
        <v>1</v>
      </c>
    </row>
    <row r="1008" ht="15.75" customHeight="1">
      <c r="A1008" s="67" t="s">
        <v>2663</v>
      </c>
      <c r="B1008" s="59" t="s">
        <v>184</v>
      </c>
      <c r="C1008" s="60" t="s">
        <v>2664</v>
      </c>
      <c r="D1008" s="60" t="s">
        <v>1326</v>
      </c>
      <c r="E1008" s="60">
        <v>150.0</v>
      </c>
      <c r="F1008" s="72">
        <v>3748.5</v>
      </c>
      <c r="G1008" s="73" t="s">
        <v>53</v>
      </c>
      <c r="H1008" s="74">
        <v>46174.0</v>
      </c>
      <c r="I1008" s="67" t="s">
        <v>17</v>
      </c>
      <c r="J1008" s="67" t="s">
        <v>54</v>
      </c>
      <c r="K1008" s="67" t="s">
        <v>66</v>
      </c>
      <c r="L1008" s="67" t="s">
        <v>67</v>
      </c>
      <c r="M1008" s="73" t="s">
        <v>57</v>
      </c>
      <c r="N1008" s="67" t="s">
        <v>20</v>
      </c>
      <c r="O1008" s="59" t="s">
        <v>69</v>
      </c>
      <c r="P1008" s="59"/>
      <c r="Q1008" s="59" t="s">
        <v>1399</v>
      </c>
      <c r="R1008" s="76" t="s">
        <v>187</v>
      </c>
      <c r="S1008" s="59"/>
      <c r="T1008" s="59"/>
      <c r="U1008" s="77" t="str">
        <f t="array" ref="U1008">IFERROR(INDEX(DFD!$D$2:$D$1048791,MATCH($Q1008,DFD!$B$2:$B$1048791,0)),"")</f>
        <v/>
      </c>
      <c r="V1008" s="77" t="str">
        <f t="array" ref="V1008">IFERROR(INDEX(DFD!$F$2:$F$1048791,MATCH($Q1008,DFD!$B$2:$B$1048791,0)),"")</f>
        <v/>
      </c>
      <c r="W1008" s="84" t="str">
        <f t="array" ref="W1008">IFERROR(INDEX(DFD!$E$2:$E$1048791,MATCH($Q1008,DFD!$B$2:$B$1048791,0)),"")</f>
        <v/>
      </c>
      <c r="X1008" s="84" t="str">
        <f t="array" ref="X1008">IFERROR(INDEX(DFD!$K$2:$K$1048791,MATCH($Q1008,DFD!$B$2:$B$1048791,0)),"")</f>
        <v/>
      </c>
      <c r="Y1008" s="84" t="str">
        <f t="array" ref="Y1008">IFERROR(INDEX(DFD!$L$2:$L$1048790,MATCH($Q1008,DFD!$B$2:$B$1048790,0)),"")</f>
        <v/>
      </c>
      <c r="Z1008" s="84">
        <f t="shared" si="21"/>
        <v>45</v>
      </c>
      <c r="AA1008" s="59"/>
      <c r="AB1008" s="59" t="s">
        <v>78</v>
      </c>
      <c r="AC1008" s="59"/>
      <c r="AD1008" s="85">
        <v>46043.0</v>
      </c>
      <c r="AE1008" s="86">
        <f t="shared" si="19"/>
        <v>1</v>
      </c>
    </row>
    <row r="1009" ht="15.75" customHeight="1">
      <c r="A1009" s="92" t="s">
        <v>2665</v>
      </c>
      <c r="B1009" s="87" t="s">
        <v>184</v>
      </c>
      <c r="C1009" s="88" t="s">
        <v>2666</v>
      </c>
      <c r="D1009" s="88" t="s">
        <v>1326</v>
      </c>
      <c r="E1009" s="88">
        <v>50.0</v>
      </c>
      <c r="F1009" s="89">
        <v>1509.0</v>
      </c>
      <c r="G1009" s="90" t="s">
        <v>53</v>
      </c>
      <c r="H1009" s="91">
        <v>46174.0</v>
      </c>
      <c r="I1009" s="92" t="s">
        <v>17</v>
      </c>
      <c r="J1009" s="92" t="s">
        <v>54</v>
      </c>
      <c r="K1009" s="92" t="s">
        <v>66</v>
      </c>
      <c r="L1009" s="92" t="s">
        <v>67</v>
      </c>
      <c r="M1009" s="90" t="s">
        <v>57</v>
      </c>
      <c r="N1009" s="92" t="s">
        <v>20</v>
      </c>
      <c r="O1009" s="87" t="s">
        <v>69</v>
      </c>
      <c r="P1009" s="87"/>
      <c r="Q1009" s="87" t="s">
        <v>1399</v>
      </c>
      <c r="R1009" s="93" t="s">
        <v>187</v>
      </c>
      <c r="S1009" s="87"/>
      <c r="T1009" s="87"/>
      <c r="U1009" s="94" t="str">
        <f t="array" ref="U1009">IFERROR(INDEX(DFD!$D$2:$D$1048791,MATCH($Q1009,DFD!$B$2:$B$1048791,0)),"")</f>
        <v/>
      </c>
      <c r="V1009" s="94" t="str">
        <f t="array" ref="V1009">IFERROR(INDEX(DFD!$F$2:$F$1048791,MATCH($Q1009,DFD!$B$2:$B$1048791,0)),"")</f>
        <v/>
      </c>
      <c r="W1009" s="97" t="str">
        <f t="array" ref="W1009">IFERROR(INDEX(DFD!$E$2:$E$1048791,MATCH($Q1009,DFD!$B$2:$B$1048791,0)),"")</f>
        <v/>
      </c>
      <c r="X1009" s="97" t="str">
        <f t="array" ref="X1009">IFERROR(INDEX(DFD!$K$2:$K$1048791,MATCH($Q1009,DFD!$B$2:$B$1048791,0)),"")</f>
        <v/>
      </c>
      <c r="Y1009" s="97" t="str">
        <f t="array" ref="Y1009">IFERROR(INDEX(DFD!$L$2:$L$1048790,MATCH($Q1009,DFD!$B$2:$B$1048790,0)),"")</f>
        <v/>
      </c>
      <c r="Z1009" s="97">
        <f t="shared" si="21"/>
        <v>45</v>
      </c>
      <c r="AA1009" s="87"/>
      <c r="AB1009" s="87" t="s">
        <v>78</v>
      </c>
      <c r="AC1009" s="87"/>
      <c r="AD1009" s="99">
        <v>46043.0</v>
      </c>
      <c r="AE1009" s="100">
        <f t="shared" si="19"/>
        <v>1</v>
      </c>
    </row>
    <row r="1010" ht="15.75" customHeight="1">
      <c r="A1010" s="67" t="s">
        <v>2667</v>
      </c>
      <c r="B1010" s="59" t="s">
        <v>184</v>
      </c>
      <c r="C1010" s="60" t="s">
        <v>2668</v>
      </c>
      <c r="D1010" s="60" t="s">
        <v>1326</v>
      </c>
      <c r="E1010" s="60">
        <v>50.0</v>
      </c>
      <c r="F1010" s="72">
        <v>2400.0</v>
      </c>
      <c r="G1010" s="73" t="s">
        <v>53</v>
      </c>
      <c r="H1010" s="74">
        <v>46174.0</v>
      </c>
      <c r="I1010" s="67" t="s">
        <v>17</v>
      </c>
      <c r="J1010" s="67" t="s">
        <v>54</v>
      </c>
      <c r="K1010" s="67" t="s">
        <v>66</v>
      </c>
      <c r="L1010" s="67" t="s">
        <v>67</v>
      </c>
      <c r="M1010" s="73" t="s">
        <v>57</v>
      </c>
      <c r="N1010" s="67" t="s">
        <v>20</v>
      </c>
      <c r="O1010" s="67" t="s">
        <v>89</v>
      </c>
      <c r="P1010" s="59"/>
      <c r="Q1010" s="59" t="s">
        <v>1399</v>
      </c>
      <c r="R1010" s="76" t="s">
        <v>187</v>
      </c>
      <c r="S1010" s="59"/>
      <c r="T1010" s="59"/>
      <c r="U1010" s="77" t="str">
        <f t="array" ref="U1010">IFERROR(INDEX(DFD!$D$2:$D$1048791,MATCH($Q1010,DFD!$B$2:$B$1048791,0)),"")</f>
        <v/>
      </c>
      <c r="V1010" s="77" t="str">
        <f t="array" ref="V1010">IFERROR(INDEX(DFD!$F$2:$F$1048791,MATCH($Q1010,DFD!$B$2:$B$1048791,0)),"")</f>
        <v/>
      </c>
      <c r="W1010" s="84" t="str">
        <f t="array" ref="W1010">IFERROR(INDEX(DFD!$E$2:$E$1048791,MATCH($Q1010,DFD!$B$2:$B$1048791,0)),"")</f>
        <v/>
      </c>
      <c r="X1010" s="84" t="str">
        <f t="array" ref="X1010">IFERROR(INDEX(DFD!$K$2:$K$1048791,MATCH($Q1010,DFD!$B$2:$B$1048791,0)),"")</f>
        <v/>
      </c>
      <c r="Y1010" s="84" t="str">
        <f t="array" ref="Y1010">IFERROR(INDEX(DFD!$L$2:$L$1048790,MATCH($Q1010,DFD!$B$2:$B$1048790,0)),"")</f>
        <v/>
      </c>
      <c r="Z1010" s="84">
        <f t="shared" si="21"/>
        <v>45</v>
      </c>
      <c r="AA1010" s="59"/>
      <c r="AB1010" s="59" t="s">
        <v>78</v>
      </c>
      <c r="AC1010" s="59"/>
      <c r="AD1010" s="85">
        <v>46043.0</v>
      </c>
      <c r="AE1010" s="86">
        <f t="shared" si="19"/>
        <v>1</v>
      </c>
    </row>
    <row r="1011" ht="15.75" customHeight="1">
      <c r="A1011" s="92" t="s">
        <v>2669</v>
      </c>
      <c r="B1011" s="87" t="s">
        <v>184</v>
      </c>
      <c r="C1011" s="88" t="s">
        <v>2670</v>
      </c>
      <c r="D1011" s="88" t="s">
        <v>1326</v>
      </c>
      <c r="E1011" s="88">
        <v>30.0</v>
      </c>
      <c r="F1011" s="89">
        <v>2240.1</v>
      </c>
      <c r="G1011" s="90" t="s">
        <v>53</v>
      </c>
      <c r="H1011" s="91">
        <v>46174.0</v>
      </c>
      <c r="I1011" s="92" t="s">
        <v>17</v>
      </c>
      <c r="J1011" s="92" t="s">
        <v>54</v>
      </c>
      <c r="K1011" s="92" t="s">
        <v>66</v>
      </c>
      <c r="L1011" s="92" t="s">
        <v>67</v>
      </c>
      <c r="M1011" s="90" t="s">
        <v>57</v>
      </c>
      <c r="N1011" s="92" t="s">
        <v>20</v>
      </c>
      <c r="O1011" s="87" t="s">
        <v>69</v>
      </c>
      <c r="P1011" s="87"/>
      <c r="Q1011" s="87" t="s">
        <v>259</v>
      </c>
      <c r="R1011" s="93" t="s">
        <v>187</v>
      </c>
      <c r="S1011" s="87"/>
      <c r="T1011" s="87"/>
      <c r="U1011" s="94" t="str">
        <f t="array" ref="U1011">IFERROR(INDEX(DFD!$D$2:$D$1048791,MATCH($Q1011,DFD!$B$2:$B$1048791,0)),"")</f>
        <v/>
      </c>
      <c r="V1011" s="94" t="str">
        <f t="array" ref="V1011">IFERROR(INDEX(DFD!$F$2:$F$1048791,MATCH($Q1011,DFD!$B$2:$B$1048791,0)),"")</f>
        <v/>
      </c>
      <c r="W1011" s="97" t="str">
        <f t="array" ref="W1011">IFERROR(INDEX(DFD!$E$2:$E$1048791,MATCH($Q1011,DFD!$B$2:$B$1048791,0)),"")</f>
        <v/>
      </c>
      <c r="X1011" s="97" t="str">
        <f t="array" ref="X1011">IFERROR(INDEX(DFD!$K$2:$K$1048791,MATCH($Q1011,DFD!$B$2:$B$1048791,0)),"")</f>
        <v/>
      </c>
      <c r="Y1011" s="97" t="str">
        <f t="array" ref="Y1011">IFERROR(INDEX(DFD!$L$2:$L$1048790,MATCH($Q1011,DFD!$B$2:$B$1048790,0)),"")</f>
        <v/>
      </c>
      <c r="Z1011" s="97">
        <f t="shared" si="21"/>
        <v>45</v>
      </c>
      <c r="AA1011" s="87"/>
      <c r="AB1011" s="87" t="s">
        <v>78</v>
      </c>
      <c r="AC1011" s="87"/>
      <c r="AD1011" s="99">
        <v>46043.0</v>
      </c>
      <c r="AE1011" s="100">
        <f t="shared" si="19"/>
        <v>1</v>
      </c>
    </row>
    <row r="1012" ht="15.75" customHeight="1">
      <c r="A1012" s="67" t="s">
        <v>2671</v>
      </c>
      <c r="B1012" s="59" t="s">
        <v>64</v>
      </c>
      <c r="C1012" s="60" t="s">
        <v>2672</v>
      </c>
      <c r="D1012" s="60" t="s">
        <v>51</v>
      </c>
      <c r="E1012" s="60">
        <v>4.0</v>
      </c>
      <c r="F1012" s="72">
        <v>640.0</v>
      </c>
      <c r="G1012" s="73" t="s">
        <v>53</v>
      </c>
      <c r="H1012" s="74">
        <v>46174.0</v>
      </c>
      <c r="I1012" s="67" t="s">
        <v>17</v>
      </c>
      <c r="J1012" s="67" t="s">
        <v>54</v>
      </c>
      <c r="K1012" s="67" t="s">
        <v>66</v>
      </c>
      <c r="L1012" s="67" t="s">
        <v>197</v>
      </c>
      <c r="M1012" s="73" t="s">
        <v>117</v>
      </c>
      <c r="N1012" s="67" t="s">
        <v>20</v>
      </c>
      <c r="O1012" s="59" t="s">
        <v>69</v>
      </c>
      <c r="P1012" s="59"/>
      <c r="Q1012" s="59" t="s">
        <v>214</v>
      </c>
      <c r="R1012" s="76" t="s">
        <v>217</v>
      </c>
      <c r="S1012" s="59"/>
      <c r="T1012" s="59"/>
      <c r="U1012" s="77" t="str">
        <f t="array" ref="U1012">IFERROR(INDEX(DFD!$D$2:$D$1048791,MATCH($Q1012,DFD!$B$2:$B$1048791,0)),"")</f>
        <v/>
      </c>
      <c r="V1012" s="77" t="str">
        <f t="array" ref="V1012">IFERROR(INDEX(DFD!$F$2:$F$1048791,MATCH($Q1012,DFD!$B$2:$B$1048791,0)),"")</f>
        <v/>
      </c>
      <c r="W1012" s="84" t="str">
        <f t="array" ref="W1012">IFERROR(INDEX(DFD!$E$2:$E$1048791,MATCH($Q1012,DFD!$B$2:$B$1048791,0)),"")</f>
        <v/>
      </c>
      <c r="X1012" s="84" t="str">
        <f t="array" ref="X1012">IFERROR(INDEX(DFD!$K$2:$K$1048791,MATCH($Q1012,DFD!$B$2:$B$1048791,0)),"")</f>
        <v/>
      </c>
      <c r="Y1012" s="84" t="str">
        <f t="array" ref="Y1012">IFERROR(INDEX(DFD!$L$2:$L$1048790,MATCH($Q1012,DFD!$B$2:$B$1048790,0)),"")</f>
        <v/>
      </c>
      <c r="Z1012" s="84">
        <f t="shared" si="21"/>
        <v>45</v>
      </c>
      <c r="AA1012" s="59"/>
      <c r="AB1012" s="59" t="s">
        <v>78</v>
      </c>
      <c r="AC1012" s="59"/>
      <c r="AD1012" s="85">
        <v>46043.0</v>
      </c>
      <c r="AE1012" s="86">
        <f t="shared" si="19"/>
        <v>1</v>
      </c>
    </row>
    <row r="1013" ht="15.75" customHeight="1">
      <c r="A1013" s="92" t="s">
        <v>2673</v>
      </c>
      <c r="B1013" s="87" t="s">
        <v>107</v>
      </c>
      <c r="C1013" s="88" t="s">
        <v>2672</v>
      </c>
      <c r="D1013" s="88" t="s">
        <v>51</v>
      </c>
      <c r="E1013" s="88">
        <v>4.0</v>
      </c>
      <c r="F1013" s="89">
        <v>640.0</v>
      </c>
      <c r="G1013" s="90" t="s">
        <v>53</v>
      </c>
      <c r="H1013" s="91">
        <v>46174.0</v>
      </c>
      <c r="I1013" s="92" t="s">
        <v>17</v>
      </c>
      <c r="J1013" s="92" t="s">
        <v>54</v>
      </c>
      <c r="K1013" s="92" t="s">
        <v>66</v>
      </c>
      <c r="L1013" s="92" t="s">
        <v>197</v>
      </c>
      <c r="M1013" s="90" t="s">
        <v>117</v>
      </c>
      <c r="N1013" s="92" t="s">
        <v>20</v>
      </c>
      <c r="O1013" s="92" t="s">
        <v>89</v>
      </c>
      <c r="P1013" s="87"/>
      <c r="Q1013" s="87" t="s">
        <v>214</v>
      </c>
      <c r="R1013" s="93" t="s">
        <v>217</v>
      </c>
      <c r="S1013" s="87"/>
      <c r="T1013" s="87"/>
      <c r="U1013" s="94" t="str">
        <f t="array" ref="U1013">IFERROR(INDEX(DFD!$D$2:$D$1048791,MATCH($Q1013,DFD!$B$2:$B$1048791,0)),"")</f>
        <v/>
      </c>
      <c r="V1013" s="94" t="str">
        <f t="array" ref="V1013">IFERROR(INDEX(DFD!$F$2:$F$1048791,MATCH($Q1013,DFD!$B$2:$B$1048791,0)),"")</f>
        <v/>
      </c>
      <c r="W1013" s="97" t="str">
        <f t="array" ref="W1013">IFERROR(INDEX(DFD!$E$2:$E$1048791,MATCH($Q1013,DFD!$B$2:$B$1048791,0)),"")</f>
        <v/>
      </c>
      <c r="X1013" s="97" t="str">
        <f t="array" ref="X1013">IFERROR(INDEX(DFD!$K$2:$K$1048791,MATCH($Q1013,DFD!$B$2:$B$1048791,0)),"")</f>
        <v/>
      </c>
      <c r="Y1013" s="97" t="str">
        <f t="array" ref="Y1013">IFERROR(INDEX(DFD!$L$2:$L$1048790,MATCH($Q1013,DFD!$B$2:$B$1048790,0)),"")</f>
        <v/>
      </c>
      <c r="Z1013" s="97">
        <f t="shared" si="21"/>
        <v>45</v>
      </c>
      <c r="AA1013" s="87"/>
      <c r="AB1013" s="87" t="s">
        <v>78</v>
      </c>
      <c r="AC1013" s="87"/>
      <c r="AD1013" s="99">
        <v>46043.0</v>
      </c>
      <c r="AE1013" s="100">
        <f t="shared" si="19"/>
        <v>1</v>
      </c>
    </row>
    <row r="1014" ht="15.75" customHeight="1">
      <c r="A1014" s="59" t="s">
        <v>2674</v>
      </c>
      <c r="B1014" s="59" t="s">
        <v>109</v>
      </c>
      <c r="C1014" s="60" t="s">
        <v>2672</v>
      </c>
      <c r="D1014" s="60" t="s">
        <v>51</v>
      </c>
      <c r="E1014" s="60">
        <v>3.0</v>
      </c>
      <c r="F1014" s="72">
        <v>480.0</v>
      </c>
      <c r="G1014" s="73" t="s">
        <v>53</v>
      </c>
      <c r="H1014" s="74">
        <v>46174.0</v>
      </c>
      <c r="I1014" s="67" t="s">
        <v>17</v>
      </c>
      <c r="J1014" s="67" t="s">
        <v>54</v>
      </c>
      <c r="K1014" s="67" t="s">
        <v>66</v>
      </c>
      <c r="L1014" s="67" t="s">
        <v>67</v>
      </c>
      <c r="M1014" s="73" t="s">
        <v>68</v>
      </c>
      <c r="N1014" s="67" t="s">
        <v>5</v>
      </c>
      <c r="O1014" s="59" t="s">
        <v>69</v>
      </c>
      <c r="P1014" s="59"/>
      <c r="Q1014" s="59" t="s">
        <v>214</v>
      </c>
      <c r="R1014" s="76" t="s">
        <v>217</v>
      </c>
      <c r="S1014" s="59"/>
      <c r="T1014" s="59"/>
      <c r="U1014" s="77" t="str">
        <f t="array" ref="U1014">IFERROR(INDEX(DFD!$D$2:$D$1048791,MATCH($Q1014,DFD!$B$2:$B$1048791,0)),"")</f>
        <v/>
      </c>
      <c r="V1014" s="77" t="str">
        <f t="array" ref="V1014">IFERROR(INDEX(DFD!$F$2:$F$1048791,MATCH($Q1014,DFD!$B$2:$B$1048791,0)),"")</f>
        <v/>
      </c>
      <c r="W1014" s="84" t="str">
        <f t="array" ref="W1014">IFERROR(INDEX(DFD!$E$2:$E$1048791,MATCH($Q1014,DFD!$B$2:$B$1048791,0)),"")</f>
        <v/>
      </c>
      <c r="X1014" s="84" t="str">
        <f t="array" ref="X1014">IFERROR(INDEX(DFD!$K$2:$K$1048791,MATCH($Q1014,DFD!$B$2:$B$1048791,0)),"")</f>
        <v/>
      </c>
      <c r="Y1014" s="84" t="str">
        <f t="array" ref="Y1014">IFERROR(INDEX(DFD!$L$2:$L$1048790,MATCH($Q1014,DFD!$B$2:$B$1048790,0)),"")</f>
        <v/>
      </c>
      <c r="Z1014" s="84">
        <f t="shared" si="21"/>
        <v>45</v>
      </c>
      <c r="AA1014" s="59"/>
      <c r="AB1014" s="59" t="s">
        <v>78</v>
      </c>
      <c r="AC1014" s="59"/>
      <c r="AD1014" s="85">
        <v>46043.0</v>
      </c>
      <c r="AE1014" s="86">
        <f t="shared" si="19"/>
        <v>1</v>
      </c>
    </row>
    <row r="1015" ht="15.75" customHeight="1">
      <c r="A1015" s="92" t="s">
        <v>2675</v>
      </c>
      <c r="B1015" s="87" t="s">
        <v>184</v>
      </c>
      <c r="C1015" s="88" t="s">
        <v>2676</v>
      </c>
      <c r="D1015" s="88" t="s">
        <v>51</v>
      </c>
      <c r="E1015" s="88">
        <v>560.0</v>
      </c>
      <c r="F1015" s="89">
        <v>4972.8</v>
      </c>
      <c r="G1015" s="90" t="s">
        <v>53</v>
      </c>
      <c r="H1015" s="91">
        <v>46204.0</v>
      </c>
      <c r="I1015" s="92" t="s">
        <v>17</v>
      </c>
      <c r="J1015" s="92" t="s">
        <v>54</v>
      </c>
      <c r="K1015" s="92" t="s">
        <v>66</v>
      </c>
      <c r="L1015" s="92" t="s">
        <v>67</v>
      </c>
      <c r="M1015" s="90" t="s">
        <v>112</v>
      </c>
      <c r="N1015" s="92" t="s">
        <v>20</v>
      </c>
      <c r="O1015" s="87" t="s">
        <v>69</v>
      </c>
      <c r="P1015" s="87"/>
      <c r="Q1015" s="87" t="s">
        <v>191</v>
      </c>
      <c r="R1015" s="93" t="s">
        <v>187</v>
      </c>
      <c r="S1015" s="87"/>
      <c r="T1015" s="87"/>
      <c r="U1015" s="94" t="str">
        <f t="array" ref="U1015">IFERROR(INDEX(DFD!$D$2:$D$1048791,MATCH($Q1015,DFD!$B$2:$B$1048791,0)),"")</f>
        <v/>
      </c>
      <c r="V1015" s="94" t="str">
        <f t="array" ref="V1015">IFERROR(INDEX(DFD!$F$2:$F$1048791,MATCH($Q1015,DFD!$B$2:$B$1048791,0)),"")</f>
        <v/>
      </c>
      <c r="W1015" s="97" t="str">
        <f t="array" ref="W1015">IFERROR(INDEX(DFD!$E$2:$E$1048791,MATCH($Q1015,DFD!$B$2:$B$1048791,0)),"")</f>
        <v/>
      </c>
      <c r="X1015" s="97" t="str">
        <f t="array" ref="X1015">IFERROR(INDEX(DFD!$K$2:$K$1048791,MATCH($Q1015,DFD!$B$2:$B$1048791,0)),"")</f>
        <v/>
      </c>
      <c r="Y1015" s="97" t="str">
        <f t="array" ref="Y1015">IFERROR(INDEX(DFD!$L$2:$L$1048790,MATCH($Q1015,DFD!$B$2:$B$1048790,0)),"")</f>
        <v/>
      </c>
      <c r="Z1015" s="97">
        <f t="shared" si="21"/>
        <v>45</v>
      </c>
      <c r="AA1015" s="87"/>
      <c r="AB1015" s="87" t="s">
        <v>78</v>
      </c>
      <c r="AC1015" s="87"/>
      <c r="AD1015" s="99">
        <v>46043.0</v>
      </c>
      <c r="AE1015" s="100">
        <f t="shared" si="19"/>
        <v>1</v>
      </c>
    </row>
    <row r="1016" ht="15.75" customHeight="1">
      <c r="A1016" s="59" t="s">
        <v>2677</v>
      </c>
      <c r="B1016" s="59" t="s">
        <v>1245</v>
      </c>
      <c r="C1016" s="81" t="s">
        <v>2678</v>
      </c>
      <c r="D1016" s="60" t="s">
        <v>51</v>
      </c>
      <c r="E1016" s="60">
        <v>1.0</v>
      </c>
      <c r="F1016" s="72">
        <v>407073.0</v>
      </c>
      <c r="G1016" s="73" t="s">
        <v>53</v>
      </c>
      <c r="H1016" s="74">
        <v>46235.0</v>
      </c>
      <c r="I1016" s="67" t="s">
        <v>17</v>
      </c>
      <c r="J1016" s="67" t="s">
        <v>54</v>
      </c>
      <c r="K1016" s="67" t="s">
        <v>161</v>
      </c>
      <c r="L1016" s="67" t="s">
        <v>1247</v>
      </c>
      <c r="M1016" s="73" t="s">
        <v>1248</v>
      </c>
      <c r="N1016" s="67" t="s">
        <v>52</v>
      </c>
      <c r="O1016" s="67" t="s">
        <v>89</v>
      </c>
      <c r="P1016" s="59"/>
      <c r="Q1016" s="59" t="s">
        <v>52</v>
      </c>
      <c r="R1016" s="76" t="s">
        <v>2678</v>
      </c>
      <c r="S1016" s="59"/>
      <c r="T1016" s="59"/>
      <c r="U1016" s="77" t="str">
        <f t="array" ref="U1016">IFERROR(INDEX(DFD!$D$2:$D$1048791,MATCH($Q1016,DFD!$B$2:$B$1048791,0)),"")</f>
        <v/>
      </c>
      <c r="V1016" s="77" t="str">
        <f t="array" ref="V1016">IFERROR(INDEX(DFD!$F$2:$F$1048791,MATCH($Q1016,DFD!$B$2:$B$1048791,0)),"")</f>
        <v/>
      </c>
      <c r="W1016" s="84" t="str">
        <f t="array" ref="W1016">IFERROR(INDEX(DFD!$E$2:$E$1048791,MATCH($Q1016,DFD!$B$2:$B$1048791,0)),"")</f>
        <v/>
      </c>
      <c r="X1016" s="84" t="str">
        <f t="array" ref="X1016">IFERROR(INDEX(DFD!$K$2:$K$1048791,MATCH($Q1016,DFD!$B$2:$B$1048791,0)),"")</f>
        <v/>
      </c>
      <c r="Y1016" s="84" t="str">
        <f t="array" ref="Y1016">IFERROR(INDEX(DFD!$L$2:$L$1048790,MATCH($Q1016,DFD!$B$2:$B$1048790,0)),"")</f>
        <v/>
      </c>
      <c r="Z1016" s="84">
        <f t="shared" si="21"/>
        <v>45</v>
      </c>
      <c r="AA1016" s="59"/>
      <c r="AB1016" s="59" t="s">
        <v>72</v>
      </c>
      <c r="AC1016" s="59"/>
      <c r="AD1016" s="85">
        <v>46043.0</v>
      </c>
      <c r="AE1016" s="86">
        <f t="shared" si="19"/>
        <v>1</v>
      </c>
    </row>
    <row r="1017" ht="15.75" customHeight="1">
      <c r="A1017" s="92" t="s">
        <v>2679</v>
      </c>
      <c r="B1017" s="87" t="s">
        <v>400</v>
      </c>
      <c r="C1017" s="88" t="s">
        <v>2680</v>
      </c>
      <c r="D1017" s="88" t="s">
        <v>51</v>
      </c>
      <c r="E1017" s="88">
        <v>1.0</v>
      </c>
      <c r="F1017" s="89">
        <v>26000.0</v>
      </c>
      <c r="G1017" s="90" t="s">
        <v>437</v>
      </c>
      <c r="H1017" s="91">
        <v>46235.0</v>
      </c>
      <c r="I1017" s="92" t="s">
        <v>17</v>
      </c>
      <c r="J1017" s="92" t="s">
        <v>54</v>
      </c>
      <c r="K1017" s="92" t="s">
        <v>161</v>
      </c>
      <c r="L1017" s="92" t="s">
        <v>56</v>
      </c>
      <c r="M1017" s="90" t="s">
        <v>132</v>
      </c>
      <c r="N1017" s="92" t="s">
        <v>20</v>
      </c>
      <c r="O1017" s="87" t="s">
        <v>69</v>
      </c>
      <c r="P1017" s="87"/>
      <c r="Q1017" s="87"/>
      <c r="R1017" s="93" t="s">
        <v>164</v>
      </c>
      <c r="S1017" s="87"/>
      <c r="T1017" s="87"/>
      <c r="U1017" s="94" t="str">
        <f t="array" ref="U1017">IFERROR(INDEX(DFD!$D$2:$D$1048791,MATCH($Q1017,DFD!$B$2:$B$1048791,0)),"")</f>
        <v/>
      </c>
      <c r="V1017" s="94" t="str">
        <f t="array" ref="V1017">IFERROR(INDEX(DFD!$F$2:$F$1048791,MATCH($Q1017,DFD!$B$2:$B$1048791,0)),"")</f>
        <v/>
      </c>
      <c r="W1017" s="97" t="str">
        <f t="array" ref="W1017">IFERROR(INDEX(DFD!$E$2:$E$1048791,MATCH($Q1017,DFD!$B$2:$B$1048791,0)),"")</f>
        <v/>
      </c>
      <c r="X1017" s="97" t="str">
        <f t="array" ref="X1017">IFERROR(INDEX(DFD!$K$2:$K$1048791,MATCH($Q1017,DFD!$B$2:$B$1048791,0)),"")</f>
        <v/>
      </c>
      <c r="Y1017" s="97" t="str">
        <f t="array" ref="Y1017">IFERROR(INDEX(DFD!$L$2:$L$1048790,MATCH($Q1017,DFD!$B$2:$B$1048790,0)),"")</f>
        <v/>
      </c>
      <c r="Z1017" s="97">
        <f t="shared" si="21"/>
        <v>45</v>
      </c>
      <c r="AA1017" s="87"/>
      <c r="AB1017" s="87" t="s">
        <v>72</v>
      </c>
      <c r="AC1017" s="87"/>
      <c r="AD1017" s="99">
        <v>46043.0</v>
      </c>
      <c r="AE1017" s="100">
        <f t="shared" si="19"/>
        <v>1</v>
      </c>
    </row>
    <row r="1018" ht="15.75" customHeight="1">
      <c r="A1018" s="59" t="s">
        <v>2681</v>
      </c>
      <c r="B1018" s="59" t="s">
        <v>277</v>
      </c>
      <c r="C1018" s="60" t="s">
        <v>2682</v>
      </c>
      <c r="D1018" s="60" t="s">
        <v>51</v>
      </c>
      <c r="E1018" s="60">
        <v>50.0</v>
      </c>
      <c r="F1018" s="72">
        <v>10000.0</v>
      </c>
      <c r="G1018" s="73" t="s">
        <v>53</v>
      </c>
      <c r="H1018" s="74">
        <v>46204.0</v>
      </c>
      <c r="I1018" s="67" t="s">
        <v>17</v>
      </c>
      <c r="J1018" s="67" t="s">
        <v>54</v>
      </c>
      <c r="K1018" s="67" t="s">
        <v>66</v>
      </c>
      <c r="L1018" s="67" t="s">
        <v>67</v>
      </c>
      <c r="M1018" s="73" t="s">
        <v>57</v>
      </c>
      <c r="N1018" s="67" t="s">
        <v>5</v>
      </c>
      <c r="O1018" s="59" t="s">
        <v>69</v>
      </c>
      <c r="P1018" s="59"/>
      <c r="Q1018" s="59" t="s">
        <v>1719</v>
      </c>
      <c r="R1018" s="76" t="s">
        <v>269</v>
      </c>
      <c r="S1018" s="59"/>
      <c r="T1018" s="59"/>
      <c r="U1018" s="77" t="str">
        <f t="array" ref="U1018">IFERROR(INDEX(DFD!$D$2:$D$1048791,MATCH($Q1018,DFD!$B$2:$B$1048791,0)),"")</f>
        <v/>
      </c>
      <c r="V1018" s="77" t="str">
        <f t="array" ref="V1018">IFERROR(INDEX(DFD!$F$2:$F$1048791,MATCH($Q1018,DFD!$B$2:$B$1048791,0)),"")</f>
        <v/>
      </c>
      <c r="W1018" s="84" t="str">
        <f t="array" ref="W1018">IFERROR(INDEX(DFD!$E$2:$E$1048791,MATCH($Q1018,DFD!$B$2:$B$1048791,0)),"")</f>
        <v/>
      </c>
      <c r="X1018" s="84" t="str">
        <f t="array" ref="X1018">IFERROR(INDEX(DFD!$K$2:$K$1048791,MATCH($Q1018,DFD!$B$2:$B$1048791,0)),"")</f>
        <v/>
      </c>
      <c r="Y1018" s="84" t="str">
        <f t="array" ref="Y1018">IFERROR(INDEX(DFD!$L$2:$L$1048790,MATCH($Q1018,DFD!$B$2:$B$1048790,0)),"")</f>
        <v/>
      </c>
      <c r="Z1018" s="84">
        <f t="shared" si="21"/>
        <v>45</v>
      </c>
      <c r="AA1018" s="59"/>
      <c r="AB1018" s="59" t="s">
        <v>78</v>
      </c>
      <c r="AC1018" s="59"/>
      <c r="AD1018" s="85">
        <v>46043.0</v>
      </c>
      <c r="AE1018" s="86">
        <f t="shared" si="19"/>
        <v>1</v>
      </c>
    </row>
    <row r="1019" ht="15.75" customHeight="1">
      <c r="A1019" s="92" t="s">
        <v>2683</v>
      </c>
      <c r="B1019" s="87" t="s">
        <v>136</v>
      </c>
      <c r="C1019" s="88" t="s">
        <v>2684</v>
      </c>
      <c r="D1019" s="88" t="s">
        <v>51</v>
      </c>
      <c r="E1019" s="88">
        <v>1.0</v>
      </c>
      <c r="F1019" s="89">
        <v>60000.0</v>
      </c>
      <c r="G1019" s="90" t="s">
        <v>53</v>
      </c>
      <c r="H1019" s="91">
        <v>46266.0</v>
      </c>
      <c r="I1019" s="92" t="s">
        <v>17</v>
      </c>
      <c r="J1019" s="92" t="s">
        <v>54</v>
      </c>
      <c r="K1019" s="92" t="s">
        <v>55</v>
      </c>
      <c r="L1019" s="92" t="s">
        <v>56</v>
      </c>
      <c r="M1019" s="90" t="s">
        <v>167</v>
      </c>
      <c r="N1019" s="92" t="s">
        <v>20</v>
      </c>
      <c r="O1019" s="92" t="s">
        <v>89</v>
      </c>
      <c r="P1019" s="87"/>
      <c r="Q1019" s="87" t="s">
        <v>2685</v>
      </c>
      <c r="R1019" s="93" t="s">
        <v>647</v>
      </c>
      <c r="S1019" s="87"/>
      <c r="T1019" s="87"/>
      <c r="U1019" s="94" t="str">
        <f t="array" ref="U1019">IFERROR(INDEX(DFD!$D$2:$D$1048791,MATCH($Q1019,DFD!$B$2:$B$1048791,0)),"")</f>
        <v/>
      </c>
      <c r="V1019" s="94" t="str">
        <f t="array" ref="V1019">IFERROR(INDEX(DFD!$F$2:$F$1048791,MATCH($Q1019,DFD!$B$2:$B$1048791,0)),"")</f>
        <v/>
      </c>
      <c r="W1019" s="97" t="str">
        <f t="array" ref="W1019">IFERROR(INDEX(DFD!$E$2:$E$1048791,MATCH($Q1019,DFD!$B$2:$B$1048791,0)),"")</f>
        <v/>
      </c>
      <c r="X1019" s="97" t="str">
        <f t="array" ref="X1019">IFERROR(INDEX(DFD!$K$2:$K$1048791,MATCH($Q1019,DFD!$B$2:$B$1048791,0)),"")</f>
        <v/>
      </c>
      <c r="Y1019" s="97" t="str">
        <f t="array" ref="Y1019">IFERROR(INDEX(DFD!$L$2:$L$1048790,MATCH($Q1019,DFD!$B$2:$B$1048790,0)),"")</f>
        <v/>
      </c>
      <c r="Z1019" s="97">
        <f t="shared" si="21"/>
        <v>45</v>
      </c>
      <c r="AA1019" s="87"/>
      <c r="AB1019" s="87" t="s">
        <v>78</v>
      </c>
      <c r="AC1019" s="87"/>
      <c r="AD1019" s="99">
        <v>46043.0</v>
      </c>
      <c r="AE1019" s="100">
        <f t="shared" si="19"/>
        <v>1</v>
      </c>
    </row>
    <row r="1020" ht="15.75" customHeight="1">
      <c r="A1020" s="59" t="s">
        <v>2686</v>
      </c>
      <c r="B1020" s="67" t="s">
        <v>101</v>
      </c>
      <c r="C1020" s="60" t="s">
        <v>2687</v>
      </c>
      <c r="D1020" s="81" t="s">
        <v>51</v>
      </c>
      <c r="E1020" s="81">
        <v>1.0</v>
      </c>
      <c r="F1020" s="101">
        <v>800.0</v>
      </c>
      <c r="G1020" s="73" t="s">
        <v>53</v>
      </c>
      <c r="H1020" s="83">
        <v>46174.0</v>
      </c>
      <c r="I1020" s="67" t="s">
        <v>18</v>
      </c>
      <c r="J1020" s="67" t="s">
        <v>54</v>
      </c>
      <c r="K1020" s="67" t="s">
        <v>83</v>
      </c>
      <c r="L1020" s="67" t="s">
        <v>56</v>
      </c>
      <c r="M1020" s="73" t="s">
        <v>68</v>
      </c>
      <c r="N1020" s="67" t="s">
        <v>58</v>
      </c>
      <c r="O1020" s="59" t="s">
        <v>69</v>
      </c>
      <c r="P1020" s="59"/>
      <c r="Q1020" s="59" t="s">
        <v>180</v>
      </c>
      <c r="R1020" s="76" t="s">
        <v>302</v>
      </c>
      <c r="S1020" s="59"/>
      <c r="T1020" s="59"/>
      <c r="U1020" s="77" t="str">
        <f t="array" ref="U1020">IFERROR(INDEX(DFD!$D$2:$D$1048791,MATCH($Q1020,DFD!$B$2:$B$1048791,0)),"")</f>
        <v/>
      </c>
      <c r="V1020" s="77" t="str">
        <f t="array" ref="V1020">IFERROR(INDEX(DFD!$F$2:$F$1048791,MATCH($Q1020,DFD!$B$2:$B$1048791,0)),"")</f>
        <v/>
      </c>
      <c r="W1020" s="84" t="str">
        <f t="array" ref="W1020">IFERROR(INDEX(DFD!$E$2:$E$1048791,MATCH($Q1020,DFD!$B$2:$B$1048791,0)),"")</f>
        <v/>
      </c>
      <c r="X1020" s="84" t="str">
        <f t="array" ref="X1020">IFERROR(INDEX(DFD!$K$2:$K$1048791,MATCH($Q1020,DFD!$B$2:$B$1048791,0)),"")</f>
        <v/>
      </c>
      <c r="Y1020" s="84" t="str">
        <f t="array" ref="Y1020">IFERROR(INDEX(DFD!$L$2:$L$1048790,MATCH($Q1020,DFD!$B$2:$B$1048790,0)),"")</f>
        <v/>
      </c>
      <c r="Z1020" s="84">
        <f t="shared" si="21"/>
        <v>45</v>
      </c>
      <c r="AA1020" s="59"/>
      <c r="AB1020" s="59" t="s">
        <v>78</v>
      </c>
      <c r="AC1020" s="59"/>
      <c r="AD1020" s="85">
        <v>46043.0</v>
      </c>
      <c r="AE1020" s="86">
        <f t="shared" si="19"/>
        <v>1</v>
      </c>
    </row>
    <row r="1021" ht="15.75" customHeight="1">
      <c r="A1021" s="92" t="s">
        <v>2688</v>
      </c>
      <c r="B1021" s="87" t="s">
        <v>174</v>
      </c>
      <c r="C1021" s="88" t="s">
        <v>2689</v>
      </c>
      <c r="D1021" s="88" t="s">
        <v>51</v>
      </c>
      <c r="E1021" s="88">
        <v>1.0</v>
      </c>
      <c r="F1021" s="89">
        <v>250.0</v>
      </c>
      <c r="G1021" s="90" t="s">
        <v>53</v>
      </c>
      <c r="H1021" s="91">
        <v>46143.0</v>
      </c>
      <c r="I1021" s="92" t="s">
        <v>17</v>
      </c>
      <c r="J1021" s="92" t="s">
        <v>54</v>
      </c>
      <c r="K1021" s="92" t="s">
        <v>66</v>
      </c>
      <c r="L1021" s="92" t="s">
        <v>56</v>
      </c>
      <c r="M1021" s="90" t="s">
        <v>167</v>
      </c>
      <c r="N1021" s="92" t="s">
        <v>20</v>
      </c>
      <c r="O1021" s="87" t="s">
        <v>69</v>
      </c>
      <c r="P1021" s="87"/>
      <c r="Q1021" s="87" t="s">
        <v>118</v>
      </c>
      <c r="R1021" s="93" t="s">
        <v>181</v>
      </c>
      <c r="S1021" s="87"/>
      <c r="T1021" s="87"/>
      <c r="U1021" s="94" t="str">
        <f t="array" ref="U1021">IFERROR(INDEX(DFD!$D$2:$D$1048791,MATCH($Q1021,DFD!$B$2:$B$1048791,0)),"")</f>
        <v/>
      </c>
      <c r="V1021" s="94" t="str">
        <f t="array" ref="V1021">IFERROR(INDEX(DFD!$F$2:$F$1048791,MATCH($Q1021,DFD!$B$2:$B$1048791,0)),"")</f>
        <v/>
      </c>
      <c r="W1021" s="97" t="str">
        <f t="array" ref="W1021">IFERROR(INDEX(DFD!$E$2:$E$1048791,MATCH($Q1021,DFD!$B$2:$B$1048791,0)),"")</f>
        <v/>
      </c>
      <c r="X1021" s="97" t="str">
        <f t="array" ref="X1021">IFERROR(INDEX(DFD!$K$2:$K$1048791,MATCH($Q1021,DFD!$B$2:$B$1048791,0)),"")</f>
        <v/>
      </c>
      <c r="Y1021" s="97" t="str">
        <f t="array" ref="Y1021">IFERROR(INDEX(DFD!$L$2:$L$1048790,MATCH($Q1021,DFD!$B$2:$B$1048790,0)),"")</f>
        <v/>
      </c>
      <c r="Z1021" s="97">
        <f t="shared" si="21"/>
        <v>45</v>
      </c>
      <c r="AA1021" s="87"/>
      <c r="AB1021" s="87" t="s">
        <v>78</v>
      </c>
      <c r="AC1021" s="87"/>
      <c r="AD1021" s="99">
        <v>46043.0</v>
      </c>
      <c r="AE1021" s="100">
        <f t="shared" si="19"/>
        <v>1</v>
      </c>
    </row>
    <row r="1022" ht="15.75" customHeight="1">
      <c r="A1022" s="59" t="s">
        <v>2690</v>
      </c>
      <c r="B1022" s="59" t="s">
        <v>101</v>
      </c>
      <c r="C1022" s="60" t="s">
        <v>2691</v>
      </c>
      <c r="D1022" s="60" t="s">
        <v>51</v>
      </c>
      <c r="E1022" s="60">
        <v>10.0</v>
      </c>
      <c r="F1022" s="72">
        <v>50.0</v>
      </c>
      <c r="G1022" s="73" t="s">
        <v>53</v>
      </c>
      <c r="H1022" s="74">
        <v>46143.0</v>
      </c>
      <c r="I1022" s="67" t="s">
        <v>17</v>
      </c>
      <c r="J1022" s="67" t="s">
        <v>54</v>
      </c>
      <c r="K1022" s="67" t="s">
        <v>66</v>
      </c>
      <c r="L1022" s="67" t="s">
        <v>56</v>
      </c>
      <c r="M1022" s="73" t="s">
        <v>104</v>
      </c>
      <c r="N1022" s="67" t="s">
        <v>58</v>
      </c>
      <c r="O1022" s="67" t="s">
        <v>89</v>
      </c>
      <c r="P1022" s="59"/>
      <c r="Q1022" s="59" t="s">
        <v>118</v>
      </c>
      <c r="R1022" s="76" t="s">
        <v>181</v>
      </c>
      <c r="S1022" s="59"/>
      <c r="T1022" s="59"/>
      <c r="U1022" s="77" t="str">
        <f t="array" ref="U1022">IFERROR(INDEX(DFD!$D$2:$D$1048791,MATCH($Q1022,DFD!$B$2:$B$1048791,0)),"")</f>
        <v/>
      </c>
      <c r="V1022" s="77" t="str">
        <f t="array" ref="V1022">IFERROR(INDEX(DFD!$F$2:$F$1048791,MATCH($Q1022,DFD!$B$2:$B$1048791,0)),"")</f>
        <v/>
      </c>
      <c r="W1022" s="84" t="str">
        <f t="array" ref="W1022">IFERROR(INDEX(DFD!$E$2:$E$1048791,MATCH($Q1022,DFD!$B$2:$B$1048791,0)),"")</f>
        <v/>
      </c>
      <c r="X1022" s="84" t="str">
        <f t="array" ref="X1022">IFERROR(INDEX(DFD!$K$2:$K$1048791,MATCH($Q1022,DFD!$B$2:$B$1048791,0)),"")</f>
        <v/>
      </c>
      <c r="Y1022" s="84" t="str">
        <f t="array" ref="Y1022">IFERROR(INDEX(DFD!$L$2:$L$1048790,MATCH($Q1022,DFD!$B$2:$B$1048790,0)),"")</f>
        <v/>
      </c>
      <c r="Z1022" s="84">
        <f t="shared" si="21"/>
        <v>45</v>
      </c>
      <c r="AA1022" s="59"/>
      <c r="AB1022" s="59" t="s">
        <v>78</v>
      </c>
      <c r="AC1022" s="59"/>
      <c r="AD1022" s="85">
        <v>46043.0</v>
      </c>
      <c r="AE1022" s="86">
        <f t="shared" si="19"/>
        <v>1</v>
      </c>
    </row>
    <row r="1023" ht="15.75" customHeight="1">
      <c r="A1023" s="87" t="s">
        <v>2692</v>
      </c>
      <c r="B1023" s="87" t="s">
        <v>101</v>
      </c>
      <c r="C1023" s="88" t="s">
        <v>2693</v>
      </c>
      <c r="D1023" s="88" t="s">
        <v>51</v>
      </c>
      <c r="E1023" s="88">
        <v>6.0</v>
      </c>
      <c r="F1023" s="89">
        <v>60.0</v>
      </c>
      <c r="G1023" s="90" t="s">
        <v>53</v>
      </c>
      <c r="H1023" s="91">
        <v>46143.0</v>
      </c>
      <c r="I1023" s="92" t="s">
        <v>17</v>
      </c>
      <c r="J1023" s="92" t="s">
        <v>54</v>
      </c>
      <c r="K1023" s="92" t="s">
        <v>66</v>
      </c>
      <c r="L1023" s="92" t="s">
        <v>56</v>
      </c>
      <c r="M1023" s="90" t="s">
        <v>68</v>
      </c>
      <c r="N1023" s="92" t="s">
        <v>58</v>
      </c>
      <c r="O1023" s="87" t="s">
        <v>69</v>
      </c>
      <c r="P1023" s="87"/>
      <c r="Q1023" s="87" t="s">
        <v>118</v>
      </c>
      <c r="R1023" s="93" t="s">
        <v>181</v>
      </c>
      <c r="S1023" s="87"/>
      <c r="T1023" s="87"/>
      <c r="U1023" s="94" t="str">
        <f t="array" ref="U1023">IFERROR(INDEX(DFD!$D$2:$D$1048791,MATCH($Q1023,DFD!$B$2:$B$1048791,0)),"")</f>
        <v/>
      </c>
      <c r="V1023" s="94" t="str">
        <f t="array" ref="V1023">IFERROR(INDEX(DFD!$F$2:$F$1048791,MATCH($Q1023,DFD!$B$2:$B$1048791,0)),"")</f>
        <v/>
      </c>
      <c r="W1023" s="97" t="str">
        <f t="array" ref="W1023">IFERROR(INDEX(DFD!$E$2:$E$1048791,MATCH($Q1023,DFD!$B$2:$B$1048791,0)),"")</f>
        <v/>
      </c>
      <c r="X1023" s="97" t="str">
        <f t="array" ref="X1023">IFERROR(INDEX(DFD!$K$2:$K$1048791,MATCH($Q1023,DFD!$B$2:$B$1048791,0)),"")</f>
        <v/>
      </c>
      <c r="Y1023" s="97" t="str">
        <f t="array" ref="Y1023">IFERROR(INDEX(DFD!$L$2:$L$1048790,MATCH($Q1023,DFD!$B$2:$B$1048790,0)),"")</f>
        <v/>
      </c>
      <c r="Z1023" s="97">
        <f t="shared" si="21"/>
        <v>45</v>
      </c>
      <c r="AA1023" s="87"/>
      <c r="AB1023" s="87" t="s">
        <v>78</v>
      </c>
      <c r="AC1023" s="87"/>
      <c r="AD1023" s="99">
        <v>46043.0</v>
      </c>
      <c r="AE1023" s="100">
        <f t="shared" si="19"/>
        <v>1</v>
      </c>
    </row>
    <row r="1024" ht="15.75" customHeight="1">
      <c r="A1024" s="59" t="s">
        <v>2694</v>
      </c>
      <c r="B1024" s="59" t="s">
        <v>355</v>
      </c>
      <c r="C1024" s="60" t="s">
        <v>2695</v>
      </c>
      <c r="D1024" s="60" t="s">
        <v>51</v>
      </c>
      <c r="E1024" s="60">
        <v>30.0</v>
      </c>
      <c r="F1024" s="72">
        <v>750.0</v>
      </c>
      <c r="G1024" s="73" t="s">
        <v>53</v>
      </c>
      <c r="H1024" s="74">
        <v>46174.0</v>
      </c>
      <c r="I1024" s="67" t="s">
        <v>17</v>
      </c>
      <c r="J1024" s="67" t="s">
        <v>54</v>
      </c>
      <c r="K1024" s="67" t="s">
        <v>66</v>
      </c>
      <c r="L1024" s="67" t="s">
        <v>56</v>
      </c>
      <c r="M1024" s="73" t="s">
        <v>104</v>
      </c>
      <c r="N1024" s="67" t="s">
        <v>58</v>
      </c>
      <c r="O1024" s="59" t="s">
        <v>69</v>
      </c>
      <c r="P1024" s="59"/>
      <c r="Q1024" s="59" t="s">
        <v>118</v>
      </c>
      <c r="R1024" s="76" t="s">
        <v>181</v>
      </c>
      <c r="S1024" s="59"/>
      <c r="T1024" s="59"/>
      <c r="U1024" s="77" t="str">
        <f t="array" ref="U1024">IFERROR(INDEX(DFD!$D$2:$D$1048791,MATCH($Q1024,DFD!$B$2:$B$1048791,0)),"")</f>
        <v/>
      </c>
      <c r="V1024" s="77" t="str">
        <f t="array" ref="V1024">IFERROR(INDEX(DFD!$F$2:$F$1048791,MATCH($Q1024,DFD!$B$2:$B$1048791,0)),"")</f>
        <v/>
      </c>
      <c r="W1024" s="84" t="str">
        <f t="array" ref="W1024">IFERROR(INDEX(DFD!$E$2:$E$1048791,MATCH($Q1024,DFD!$B$2:$B$1048791,0)),"")</f>
        <v/>
      </c>
      <c r="X1024" s="84" t="str">
        <f t="array" ref="X1024">IFERROR(INDEX(DFD!$K$2:$K$1048791,MATCH($Q1024,DFD!$B$2:$B$1048791,0)),"")</f>
        <v/>
      </c>
      <c r="Y1024" s="84" t="str">
        <f t="array" ref="Y1024">IFERROR(INDEX(DFD!$L$2:$L$1048790,MATCH($Q1024,DFD!$B$2:$B$1048790,0)),"")</f>
        <v/>
      </c>
      <c r="Z1024" s="84">
        <f t="shared" si="21"/>
        <v>45</v>
      </c>
      <c r="AA1024" s="59"/>
      <c r="AB1024" s="59" t="s">
        <v>78</v>
      </c>
      <c r="AC1024" s="59"/>
      <c r="AD1024" s="85">
        <v>46043.0</v>
      </c>
      <c r="AE1024" s="86">
        <f t="shared" si="19"/>
        <v>1</v>
      </c>
    </row>
    <row r="1025" ht="15.75" customHeight="1">
      <c r="A1025" s="87" t="s">
        <v>2696</v>
      </c>
      <c r="B1025" s="92" t="s">
        <v>101</v>
      </c>
      <c r="C1025" s="88" t="s">
        <v>2697</v>
      </c>
      <c r="D1025" s="116" t="s">
        <v>51</v>
      </c>
      <c r="E1025" s="116">
        <v>3.0</v>
      </c>
      <c r="F1025" s="137">
        <v>7800.0</v>
      </c>
      <c r="G1025" s="90" t="s">
        <v>53</v>
      </c>
      <c r="H1025" s="118">
        <v>46204.0</v>
      </c>
      <c r="I1025" s="92" t="s">
        <v>18</v>
      </c>
      <c r="J1025" s="92" t="s">
        <v>54</v>
      </c>
      <c r="K1025" s="92" t="s">
        <v>83</v>
      </c>
      <c r="L1025" s="92" t="s">
        <v>56</v>
      </c>
      <c r="M1025" s="90" t="s">
        <v>68</v>
      </c>
      <c r="N1025" s="92" t="s">
        <v>58</v>
      </c>
      <c r="O1025" s="92" t="s">
        <v>89</v>
      </c>
      <c r="P1025" s="87"/>
      <c r="Q1025" s="87" t="s">
        <v>180</v>
      </c>
      <c r="R1025" s="93" t="s">
        <v>302</v>
      </c>
      <c r="S1025" s="87"/>
      <c r="T1025" s="87"/>
      <c r="U1025" s="94" t="str">
        <f t="array" ref="U1025">IFERROR(INDEX(DFD!$D$2:$D$1048791,MATCH($Q1025,DFD!$B$2:$B$1048791,0)),"")</f>
        <v/>
      </c>
      <c r="V1025" s="94" t="str">
        <f t="array" ref="V1025">IFERROR(INDEX(DFD!$F$2:$F$1048791,MATCH($Q1025,DFD!$B$2:$B$1048791,0)),"")</f>
        <v/>
      </c>
      <c r="W1025" s="97" t="str">
        <f t="array" ref="W1025">IFERROR(INDEX(DFD!$E$2:$E$1048791,MATCH($Q1025,DFD!$B$2:$B$1048791,0)),"")</f>
        <v/>
      </c>
      <c r="X1025" s="97" t="str">
        <f t="array" ref="X1025">IFERROR(INDEX(DFD!$K$2:$K$1048791,MATCH($Q1025,DFD!$B$2:$B$1048791,0)),"")</f>
        <v/>
      </c>
      <c r="Y1025" s="97" t="str">
        <f t="array" ref="Y1025">IFERROR(INDEX(DFD!$L$2:$L$1048790,MATCH($Q1025,DFD!$B$2:$B$1048790,0)),"")</f>
        <v/>
      </c>
      <c r="Z1025" s="97">
        <f t="shared" si="21"/>
        <v>45</v>
      </c>
      <c r="AA1025" s="87"/>
      <c r="AB1025" s="87" t="s">
        <v>78</v>
      </c>
      <c r="AC1025" s="87"/>
      <c r="AD1025" s="99">
        <v>46043.0</v>
      </c>
      <c r="AE1025" s="100">
        <f t="shared" si="19"/>
        <v>1</v>
      </c>
    </row>
    <row r="1026" ht="15.75" customHeight="1">
      <c r="A1026" s="59" t="s">
        <v>2698</v>
      </c>
      <c r="B1026" s="67" t="s">
        <v>101</v>
      </c>
      <c r="C1026" s="60" t="s">
        <v>2699</v>
      </c>
      <c r="D1026" s="81" t="s">
        <v>51</v>
      </c>
      <c r="E1026" s="81">
        <v>2.0</v>
      </c>
      <c r="F1026" s="101">
        <v>5000.0</v>
      </c>
      <c r="G1026" s="73" t="s">
        <v>53</v>
      </c>
      <c r="H1026" s="83">
        <v>46204.0</v>
      </c>
      <c r="I1026" s="67" t="s">
        <v>18</v>
      </c>
      <c r="J1026" s="67" t="s">
        <v>54</v>
      </c>
      <c r="K1026" s="67" t="s">
        <v>83</v>
      </c>
      <c r="L1026" s="67" t="s">
        <v>56</v>
      </c>
      <c r="M1026" s="73" t="s">
        <v>112</v>
      </c>
      <c r="N1026" s="67" t="s">
        <v>58</v>
      </c>
      <c r="O1026" s="59" t="s">
        <v>69</v>
      </c>
      <c r="P1026" s="59"/>
      <c r="Q1026" s="59" t="s">
        <v>180</v>
      </c>
      <c r="R1026" s="76" t="s">
        <v>302</v>
      </c>
      <c r="S1026" s="59"/>
      <c r="T1026" s="59"/>
      <c r="U1026" s="77" t="str">
        <f t="array" ref="U1026">IFERROR(INDEX(DFD!$D$2:$D$1048791,MATCH($Q1026,DFD!$B$2:$B$1048791,0)),"")</f>
        <v/>
      </c>
      <c r="V1026" s="77" t="str">
        <f t="array" ref="V1026">IFERROR(INDEX(DFD!$F$2:$F$1048791,MATCH($Q1026,DFD!$B$2:$B$1048791,0)),"")</f>
        <v/>
      </c>
      <c r="W1026" s="84" t="str">
        <f t="array" ref="W1026">IFERROR(INDEX(DFD!$E$2:$E$1048791,MATCH($Q1026,DFD!$B$2:$B$1048791,0)),"")</f>
        <v/>
      </c>
      <c r="X1026" s="84" t="str">
        <f t="array" ref="X1026">IFERROR(INDEX(DFD!$K$2:$K$1048791,MATCH($Q1026,DFD!$B$2:$B$1048791,0)),"")</f>
        <v/>
      </c>
      <c r="Y1026" s="84" t="str">
        <f t="array" ref="Y1026">IFERROR(INDEX(DFD!$L$2:$L$1048790,MATCH($Q1026,DFD!$B$2:$B$1048790,0)),"")</f>
        <v/>
      </c>
      <c r="Z1026" s="84">
        <f t="shared" si="21"/>
        <v>45</v>
      </c>
      <c r="AA1026" s="59"/>
      <c r="AB1026" s="59" t="s">
        <v>78</v>
      </c>
      <c r="AC1026" s="59"/>
      <c r="AD1026" s="85">
        <v>46043.0</v>
      </c>
      <c r="AE1026" s="86">
        <f t="shared" si="19"/>
        <v>1</v>
      </c>
    </row>
    <row r="1027" ht="15.75" customHeight="1">
      <c r="A1027" s="87" t="s">
        <v>2700</v>
      </c>
      <c r="B1027" s="87" t="s">
        <v>101</v>
      </c>
      <c r="C1027" s="88" t="s">
        <v>2701</v>
      </c>
      <c r="D1027" s="88" t="s">
        <v>51</v>
      </c>
      <c r="E1027" s="88">
        <v>1.0</v>
      </c>
      <c r="F1027" s="89">
        <v>420.0</v>
      </c>
      <c r="G1027" s="90" t="s">
        <v>53</v>
      </c>
      <c r="H1027" s="91">
        <v>46174.0</v>
      </c>
      <c r="I1027" s="92" t="s">
        <v>17</v>
      </c>
      <c r="J1027" s="92" t="s">
        <v>54</v>
      </c>
      <c r="K1027" s="92" t="s">
        <v>66</v>
      </c>
      <c r="L1027" s="92" t="s">
        <v>56</v>
      </c>
      <c r="M1027" s="90" t="s">
        <v>68</v>
      </c>
      <c r="N1027" s="92" t="s">
        <v>58</v>
      </c>
      <c r="O1027" s="87" t="s">
        <v>69</v>
      </c>
      <c r="P1027" s="87"/>
      <c r="Q1027" s="87" t="s">
        <v>180</v>
      </c>
      <c r="R1027" s="93" t="s">
        <v>302</v>
      </c>
      <c r="S1027" s="87"/>
      <c r="T1027" s="87"/>
      <c r="U1027" s="94" t="str">
        <f t="array" ref="U1027">IFERROR(INDEX(DFD!$D$2:$D$1048791,MATCH($Q1027,DFD!$B$2:$B$1048791,0)),"")</f>
        <v/>
      </c>
      <c r="V1027" s="94" t="str">
        <f t="array" ref="V1027">IFERROR(INDEX(DFD!$F$2:$F$1048791,MATCH($Q1027,DFD!$B$2:$B$1048791,0)),"")</f>
        <v/>
      </c>
      <c r="W1027" s="97" t="str">
        <f t="array" ref="W1027">IFERROR(INDEX(DFD!$E$2:$E$1048791,MATCH($Q1027,DFD!$B$2:$B$1048791,0)),"")</f>
        <v/>
      </c>
      <c r="X1027" s="97" t="str">
        <f t="array" ref="X1027">IFERROR(INDEX(DFD!$K$2:$K$1048791,MATCH($Q1027,DFD!$B$2:$B$1048791,0)),"")</f>
        <v/>
      </c>
      <c r="Y1027" s="97" t="str">
        <f t="array" ref="Y1027">IFERROR(INDEX(DFD!$L$2:$L$1048790,MATCH($Q1027,DFD!$B$2:$B$1048790,0)),"")</f>
        <v/>
      </c>
      <c r="Z1027" s="97">
        <f t="shared" si="21"/>
        <v>45</v>
      </c>
      <c r="AA1027" s="87"/>
      <c r="AB1027" s="87" t="s">
        <v>78</v>
      </c>
      <c r="AC1027" s="87"/>
      <c r="AD1027" s="99">
        <v>46043.0</v>
      </c>
      <c r="AE1027" s="100">
        <f t="shared" si="19"/>
        <v>1</v>
      </c>
    </row>
    <row r="1028" ht="15.75" customHeight="1">
      <c r="A1028" s="67" t="s">
        <v>2702</v>
      </c>
      <c r="B1028" s="59" t="s">
        <v>386</v>
      </c>
      <c r="C1028" s="60" t="s">
        <v>2703</v>
      </c>
      <c r="D1028" s="60" t="s">
        <v>51</v>
      </c>
      <c r="E1028" s="60">
        <v>25000.0</v>
      </c>
      <c r="F1028" s="72">
        <v>25000.0</v>
      </c>
      <c r="G1028" s="73" t="s">
        <v>53</v>
      </c>
      <c r="H1028" s="74">
        <v>46235.0</v>
      </c>
      <c r="I1028" s="67" t="s">
        <v>17</v>
      </c>
      <c r="J1028" s="67" t="s">
        <v>54</v>
      </c>
      <c r="K1028" s="67" t="s">
        <v>161</v>
      </c>
      <c r="L1028" s="67" t="s">
        <v>56</v>
      </c>
      <c r="M1028" s="73" t="s">
        <v>68</v>
      </c>
      <c r="N1028" s="67" t="s">
        <v>20</v>
      </c>
      <c r="O1028" s="67" t="s">
        <v>89</v>
      </c>
      <c r="P1028" s="59"/>
      <c r="Q1028" s="59" t="s">
        <v>2704</v>
      </c>
      <c r="R1028" s="76" t="s">
        <v>2705</v>
      </c>
      <c r="S1028" s="59"/>
      <c r="T1028" s="59"/>
      <c r="U1028" s="77" t="str">
        <f t="array" ref="U1028">IFERROR(INDEX(DFD!$D$2:$D$1048791,MATCH($Q1028,DFD!$B$2:$B$1048791,0)),"")</f>
        <v/>
      </c>
      <c r="V1028" s="77" t="str">
        <f t="array" ref="V1028">IFERROR(INDEX(DFD!$F$2:$F$1048791,MATCH($Q1028,DFD!$B$2:$B$1048791,0)),"")</f>
        <v/>
      </c>
      <c r="W1028" s="84" t="str">
        <f t="array" ref="W1028">IFERROR(INDEX(DFD!$E$2:$E$1048791,MATCH($Q1028,DFD!$B$2:$B$1048791,0)),"")</f>
        <v/>
      </c>
      <c r="X1028" s="84" t="str">
        <f t="array" ref="X1028">IFERROR(INDEX(DFD!$K$2:$K$1048791,MATCH($Q1028,DFD!$B$2:$B$1048791,0)),"")</f>
        <v/>
      </c>
      <c r="Y1028" s="84" t="str">
        <f t="array" ref="Y1028">IFERROR(INDEX(DFD!$L$2:$L$1048790,MATCH($Q1028,DFD!$B$2:$B$1048790,0)),"")</f>
        <v/>
      </c>
      <c r="Z1028" s="84">
        <f t="shared" si="21"/>
        <v>45</v>
      </c>
      <c r="AA1028" s="59"/>
      <c r="AB1028" s="59" t="s">
        <v>78</v>
      </c>
      <c r="AC1028" s="59"/>
      <c r="AD1028" s="85">
        <v>46043.0</v>
      </c>
      <c r="AE1028" s="86">
        <f t="shared" si="19"/>
        <v>1</v>
      </c>
    </row>
    <row r="1029" ht="15.75" customHeight="1">
      <c r="A1029" s="92" t="s">
        <v>2706</v>
      </c>
      <c r="B1029" s="87" t="s">
        <v>98</v>
      </c>
      <c r="C1029" s="88" t="s">
        <v>2707</v>
      </c>
      <c r="D1029" s="88" t="s">
        <v>1807</v>
      </c>
      <c r="E1029" s="88">
        <v>1.0</v>
      </c>
      <c r="F1029" s="89">
        <v>470.0</v>
      </c>
      <c r="G1029" s="90" t="s">
        <v>53</v>
      </c>
      <c r="H1029" s="91">
        <v>46174.0</v>
      </c>
      <c r="I1029" s="92" t="s">
        <v>17</v>
      </c>
      <c r="J1029" s="92" t="s">
        <v>54</v>
      </c>
      <c r="K1029" s="92" t="s">
        <v>66</v>
      </c>
      <c r="L1029" s="92" t="s">
        <v>56</v>
      </c>
      <c r="M1029" s="90" t="s">
        <v>68</v>
      </c>
      <c r="N1029" s="92" t="s">
        <v>20</v>
      </c>
      <c r="O1029" s="87" t="s">
        <v>69</v>
      </c>
      <c r="P1029" s="87"/>
      <c r="Q1029" s="87" t="s">
        <v>2123</v>
      </c>
      <c r="R1029" s="93" t="s">
        <v>2124</v>
      </c>
      <c r="S1029" s="87"/>
      <c r="T1029" s="87"/>
      <c r="U1029" s="94" t="str">
        <f t="array" ref="U1029">IFERROR(INDEX(DFD!$D$2:$D$1048791,MATCH($Q1029,DFD!$B$2:$B$1048791,0)),"")</f>
        <v/>
      </c>
      <c r="V1029" s="94" t="str">
        <f t="array" ref="V1029">IFERROR(INDEX(DFD!$F$2:$F$1048791,MATCH($Q1029,DFD!$B$2:$B$1048791,0)),"")</f>
        <v/>
      </c>
      <c r="W1029" s="97" t="str">
        <f t="array" ref="W1029">IFERROR(INDEX(DFD!$E$2:$E$1048791,MATCH($Q1029,DFD!$B$2:$B$1048791,0)),"")</f>
        <v/>
      </c>
      <c r="X1029" s="97" t="str">
        <f t="array" ref="X1029">IFERROR(INDEX(DFD!$K$2:$K$1048791,MATCH($Q1029,DFD!$B$2:$B$1048791,0)),"")</f>
        <v/>
      </c>
      <c r="Y1029" s="97" t="str">
        <f t="array" ref="Y1029">IFERROR(INDEX(DFD!$L$2:$L$1048790,MATCH($Q1029,DFD!$B$2:$B$1048790,0)),"")</f>
        <v/>
      </c>
      <c r="Z1029" s="97">
        <f t="shared" si="21"/>
        <v>45</v>
      </c>
      <c r="AA1029" s="87"/>
      <c r="AB1029" s="87" t="s">
        <v>78</v>
      </c>
      <c r="AC1029" s="87"/>
      <c r="AD1029" s="99">
        <v>46043.0</v>
      </c>
      <c r="AE1029" s="100">
        <f t="shared" si="19"/>
        <v>1</v>
      </c>
    </row>
    <row r="1030" ht="15.75" customHeight="1">
      <c r="A1030" s="59" t="s">
        <v>2708</v>
      </c>
      <c r="B1030" s="59" t="s">
        <v>52</v>
      </c>
      <c r="C1030" s="60" t="s">
        <v>2709</v>
      </c>
      <c r="D1030" s="60" t="s">
        <v>1253</v>
      </c>
      <c r="E1030" s="60">
        <v>12.0</v>
      </c>
      <c r="F1030" s="72">
        <v>62540.0</v>
      </c>
      <c r="G1030" s="73" t="s">
        <v>53</v>
      </c>
      <c r="H1030" s="74">
        <v>46204.0</v>
      </c>
      <c r="I1030" s="67" t="s">
        <v>17</v>
      </c>
      <c r="J1030" s="67" t="s">
        <v>54</v>
      </c>
      <c r="K1030" s="67" t="s">
        <v>66</v>
      </c>
      <c r="L1030" s="67" t="s">
        <v>56</v>
      </c>
      <c r="M1030" s="73" t="s">
        <v>132</v>
      </c>
      <c r="N1030" s="67" t="s">
        <v>58</v>
      </c>
      <c r="O1030" s="59" t="s">
        <v>69</v>
      </c>
      <c r="P1030" s="59"/>
      <c r="Q1030" s="59" t="s">
        <v>52</v>
      </c>
      <c r="R1030" s="76" t="s">
        <v>2710</v>
      </c>
      <c r="S1030" s="59"/>
      <c r="T1030" s="59"/>
      <c r="U1030" s="77" t="str">
        <f t="array" ref="U1030">IFERROR(INDEX(DFD!$D$2:$D$1048791,MATCH($Q1030,DFD!$B$2:$B$1048791,0)),"")</f>
        <v/>
      </c>
      <c r="V1030" s="77" t="str">
        <f t="array" ref="V1030">IFERROR(INDEX(DFD!$F$2:$F$1048791,MATCH($Q1030,DFD!$B$2:$B$1048791,0)),"")</f>
        <v/>
      </c>
      <c r="W1030" s="84" t="str">
        <f t="array" ref="W1030">IFERROR(INDEX(DFD!$E$2:$E$1048791,MATCH($Q1030,DFD!$B$2:$B$1048791,0)),"")</f>
        <v/>
      </c>
      <c r="X1030" s="84" t="str">
        <f t="array" ref="X1030">IFERROR(INDEX(DFD!$K$2:$K$1048791,MATCH($Q1030,DFD!$B$2:$B$1048791,0)),"")</f>
        <v/>
      </c>
      <c r="Y1030" s="84" t="str">
        <f t="array" ref="Y1030">IFERROR(INDEX(DFD!$L$2:$L$1048790,MATCH($Q1030,DFD!$B$2:$B$1048790,0)),"")</f>
        <v/>
      </c>
      <c r="Z1030" s="84">
        <f t="shared" si="21"/>
        <v>45</v>
      </c>
      <c r="AA1030" s="59"/>
      <c r="AB1030" s="59" t="s">
        <v>72</v>
      </c>
      <c r="AC1030" s="59"/>
      <c r="AD1030" s="85">
        <v>46043.0</v>
      </c>
      <c r="AE1030" s="86">
        <f t="shared" si="19"/>
        <v>1</v>
      </c>
    </row>
    <row r="1031" ht="15.75" customHeight="1">
      <c r="A1031" s="92" t="s">
        <v>2711</v>
      </c>
      <c r="B1031" s="87" t="s">
        <v>155</v>
      </c>
      <c r="C1031" s="88" t="s">
        <v>2712</v>
      </c>
      <c r="D1031" s="88" t="s">
        <v>51</v>
      </c>
      <c r="E1031" s="88">
        <v>1.0</v>
      </c>
      <c r="F1031" s="89">
        <v>2000.0</v>
      </c>
      <c r="G1031" s="90" t="s">
        <v>53</v>
      </c>
      <c r="H1031" s="91">
        <v>46266.0</v>
      </c>
      <c r="I1031" s="92" t="s">
        <v>17</v>
      </c>
      <c r="J1031" s="92" t="s">
        <v>54</v>
      </c>
      <c r="K1031" s="92" t="s">
        <v>161</v>
      </c>
      <c r="L1031" s="92" t="s">
        <v>197</v>
      </c>
      <c r="M1031" s="90" t="s">
        <v>132</v>
      </c>
      <c r="N1031" s="92" t="s">
        <v>20</v>
      </c>
      <c r="O1031" s="92" t="s">
        <v>89</v>
      </c>
      <c r="P1031" s="87"/>
      <c r="Q1031" s="87" t="s">
        <v>2713</v>
      </c>
      <c r="R1031" s="93" t="s">
        <v>2705</v>
      </c>
      <c r="S1031" s="87"/>
      <c r="T1031" s="87"/>
      <c r="U1031" s="94" t="str">
        <f t="array" ref="U1031">IFERROR(INDEX(DFD!$D$2:$D$1048791,MATCH($Q1031,DFD!$B$2:$B$1048791,0)),"")</f>
        <v/>
      </c>
      <c r="V1031" s="94" t="str">
        <f t="array" ref="V1031">IFERROR(INDEX(DFD!$F$2:$F$1048791,MATCH($Q1031,DFD!$B$2:$B$1048791,0)),"")</f>
        <v/>
      </c>
      <c r="W1031" s="97" t="str">
        <f t="array" ref="W1031">IFERROR(INDEX(DFD!$E$2:$E$1048791,MATCH($Q1031,DFD!$B$2:$B$1048791,0)),"")</f>
        <v/>
      </c>
      <c r="X1031" s="97" t="str">
        <f t="array" ref="X1031">IFERROR(INDEX(DFD!$K$2:$K$1048791,MATCH($Q1031,DFD!$B$2:$B$1048791,0)),"")</f>
        <v/>
      </c>
      <c r="Y1031" s="97" t="str">
        <f t="array" ref="Y1031">IFERROR(INDEX(DFD!$L$2:$L$1048790,MATCH($Q1031,DFD!$B$2:$B$1048790,0)),"")</f>
        <v/>
      </c>
      <c r="Z1031" s="97">
        <f t="shared" si="21"/>
        <v>45</v>
      </c>
      <c r="AA1031" s="87"/>
      <c r="AB1031" s="87" t="s">
        <v>78</v>
      </c>
      <c r="AC1031" s="87"/>
      <c r="AD1031" s="99">
        <v>46043.0</v>
      </c>
      <c r="AE1031" s="100">
        <f t="shared" si="19"/>
        <v>1</v>
      </c>
    </row>
    <row r="1032" ht="15.75" customHeight="1">
      <c r="A1032" s="59" t="s">
        <v>2714</v>
      </c>
      <c r="B1032" s="59" t="s">
        <v>355</v>
      </c>
      <c r="C1032" s="60" t="s">
        <v>2715</v>
      </c>
      <c r="D1032" s="60" t="s">
        <v>1807</v>
      </c>
      <c r="E1032" s="60">
        <v>1.0</v>
      </c>
      <c r="F1032" s="72">
        <v>50000.0</v>
      </c>
      <c r="G1032" s="73" t="s">
        <v>53</v>
      </c>
      <c r="H1032" s="74">
        <v>46266.0</v>
      </c>
      <c r="I1032" s="67" t="s">
        <v>17</v>
      </c>
      <c r="J1032" s="67" t="s">
        <v>54</v>
      </c>
      <c r="K1032" s="67" t="s">
        <v>55</v>
      </c>
      <c r="L1032" s="67" t="s">
        <v>56</v>
      </c>
      <c r="M1032" s="73" t="s">
        <v>68</v>
      </c>
      <c r="N1032" s="67" t="s">
        <v>58</v>
      </c>
      <c r="O1032" s="59" t="s">
        <v>69</v>
      </c>
      <c r="P1032" s="59"/>
      <c r="Q1032" s="59" t="s">
        <v>52</v>
      </c>
      <c r="R1032" s="76" t="s">
        <v>61</v>
      </c>
      <c r="S1032" s="59"/>
      <c r="T1032" s="59"/>
      <c r="U1032" s="77" t="str">
        <f t="array" ref="U1032">IFERROR(INDEX(DFD!$D$2:$D$1048791,MATCH($Q1032,DFD!$B$2:$B$1048791,0)),"")</f>
        <v/>
      </c>
      <c r="V1032" s="77" t="str">
        <f t="array" ref="V1032">IFERROR(INDEX(DFD!$F$2:$F$1048791,MATCH($Q1032,DFD!$B$2:$B$1048791,0)),"")</f>
        <v/>
      </c>
      <c r="W1032" s="84" t="str">
        <f t="array" ref="W1032">IFERROR(INDEX(DFD!$E$2:$E$1048791,MATCH($Q1032,DFD!$B$2:$B$1048791,0)),"")</f>
        <v/>
      </c>
      <c r="X1032" s="84" t="str">
        <f t="array" ref="X1032">IFERROR(INDEX(DFD!$K$2:$K$1048791,MATCH($Q1032,DFD!$B$2:$B$1048791,0)),"")</f>
        <v/>
      </c>
      <c r="Y1032" s="84" t="str">
        <f t="array" ref="Y1032">IFERROR(INDEX(DFD!$L$2:$L$1048790,MATCH($Q1032,DFD!$B$2:$B$1048790,0)),"")</f>
        <v/>
      </c>
      <c r="Z1032" s="84">
        <f t="shared" si="21"/>
        <v>45</v>
      </c>
      <c r="AA1032" s="59"/>
      <c r="AB1032" s="59" t="s">
        <v>72</v>
      </c>
      <c r="AC1032" s="59"/>
      <c r="AD1032" s="85">
        <v>46043.0</v>
      </c>
      <c r="AE1032" s="86">
        <f t="shared" si="19"/>
        <v>1</v>
      </c>
    </row>
    <row r="1033" ht="15.75" customHeight="1">
      <c r="A1033" s="92" t="s">
        <v>2716</v>
      </c>
      <c r="B1033" s="87" t="s">
        <v>184</v>
      </c>
      <c r="C1033" s="88" t="s">
        <v>2717</v>
      </c>
      <c r="D1033" s="88" t="s">
        <v>51</v>
      </c>
      <c r="E1033" s="88">
        <v>70.0</v>
      </c>
      <c r="F1033" s="89">
        <v>2000.0</v>
      </c>
      <c r="G1033" s="90" t="s">
        <v>53</v>
      </c>
      <c r="H1033" s="91">
        <v>46174.0</v>
      </c>
      <c r="I1033" s="92" t="s">
        <v>17</v>
      </c>
      <c r="J1033" s="92" t="s">
        <v>54</v>
      </c>
      <c r="K1033" s="92" t="s">
        <v>66</v>
      </c>
      <c r="L1033" s="92" t="s">
        <v>67</v>
      </c>
      <c r="M1033" s="90" t="s">
        <v>57</v>
      </c>
      <c r="N1033" s="92" t="s">
        <v>20</v>
      </c>
      <c r="O1033" s="87" t="s">
        <v>69</v>
      </c>
      <c r="P1033" s="87"/>
      <c r="Q1033" s="87" t="s">
        <v>970</v>
      </c>
      <c r="R1033" s="93" t="s">
        <v>187</v>
      </c>
      <c r="S1033" s="87"/>
      <c r="T1033" s="87"/>
      <c r="U1033" s="94" t="str">
        <f t="array" ref="U1033">IFERROR(INDEX(DFD!$D$2:$D$1048791,MATCH($Q1033,DFD!$B$2:$B$1048791,0)),"")</f>
        <v/>
      </c>
      <c r="V1033" s="94" t="s">
        <v>280</v>
      </c>
      <c r="W1033" s="97" t="str">
        <f t="array" ref="W1033">IFERROR(INDEX(DFD!$E$2:$E$1048791,MATCH($Q1033,DFD!$B$2:$B$1048791,0)),"")</f>
        <v/>
      </c>
      <c r="X1033" s="97" t="str">
        <f t="array" ref="X1033">IFERROR(INDEX(DFD!$K$2:$K$1048791,MATCH($Q1033,DFD!$B$2:$B$1048791,0)),"")</f>
        <v/>
      </c>
      <c r="Y1033" s="97" t="str">
        <f t="array" ref="Y1033">IFERROR(INDEX(DFD!$L$2:$L$1048790,MATCH($Q1033,DFD!$B$2:$B$1048790,0)),"")</f>
        <v/>
      </c>
      <c r="Z1033" s="97">
        <f t="shared" si="21"/>
        <v>45</v>
      </c>
      <c r="AA1033" s="87"/>
      <c r="AB1033" s="87" t="s">
        <v>78</v>
      </c>
      <c r="AC1033" s="87"/>
      <c r="AD1033" s="99">
        <v>46043.0</v>
      </c>
      <c r="AE1033" s="100">
        <f t="shared" si="19"/>
        <v>1</v>
      </c>
    </row>
    <row r="1034" ht="15.75" customHeight="1">
      <c r="A1034" s="67" t="s">
        <v>2718</v>
      </c>
      <c r="B1034" s="59" t="s">
        <v>184</v>
      </c>
      <c r="C1034" s="60" t="s">
        <v>2719</v>
      </c>
      <c r="D1034" s="60" t="s">
        <v>51</v>
      </c>
      <c r="E1034" s="60">
        <v>5.0</v>
      </c>
      <c r="F1034" s="72">
        <v>800.0</v>
      </c>
      <c r="G1034" s="73" t="s">
        <v>53</v>
      </c>
      <c r="H1034" s="74">
        <v>46031.0</v>
      </c>
      <c r="I1034" s="67" t="s">
        <v>17</v>
      </c>
      <c r="J1034" s="67" t="s">
        <v>54</v>
      </c>
      <c r="K1034" s="67" t="s">
        <v>372</v>
      </c>
      <c r="L1034" s="67" t="s">
        <v>67</v>
      </c>
      <c r="M1034" s="73" t="s">
        <v>104</v>
      </c>
      <c r="N1034" s="67" t="s">
        <v>20</v>
      </c>
      <c r="O1034" s="67" t="s">
        <v>89</v>
      </c>
      <c r="P1034" s="59"/>
      <c r="Q1034" s="59" t="s">
        <v>113</v>
      </c>
      <c r="R1034" s="76" t="s">
        <v>718</v>
      </c>
      <c r="S1034" s="120"/>
      <c r="T1034" s="59"/>
      <c r="U1034" s="77" t="str">
        <f t="array" ref="U1034">IFERROR(INDEX(DFD!$D$2:$D$1048791,MATCH($Q1034,DFD!$B$2:$B$1048791,0)),"")</f>
        <v/>
      </c>
      <c r="V1034" s="77" t="str">
        <f t="array" ref="V1034">IFERROR(INDEX(DFD!$F$2:$F$1048791,MATCH($Q1034,DFD!$B$2:$B$1048791,0)),"")</f>
        <v/>
      </c>
      <c r="W1034" s="84" t="str">
        <f t="array" ref="W1034">IFERROR(INDEX(DFD!$E$2:$E$1048791,MATCH($Q1034,DFD!$B$2:$B$1048791,0)),"")</f>
        <v/>
      </c>
      <c r="X1034" s="84" t="str">
        <f t="array" ref="X1034">IFERROR(INDEX(DFD!$K$2:$K$1048791,MATCH($Q1034,DFD!$B$2:$B$1048791,0)),"")</f>
        <v/>
      </c>
      <c r="Y1034" s="84" t="str">
        <f t="array" ref="Y1034">IFERROR(INDEX(DFD!$L$2:$L$1048790,MATCH($Q1034,DFD!$B$2:$B$1048790,0)),"")</f>
        <v/>
      </c>
      <c r="Z1034" s="84">
        <f t="shared" si="21"/>
        <v>45</v>
      </c>
      <c r="AA1034" s="59" t="s">
        <v>746</v>
      </c>
      <c r="AB1034" s="59" t="s">
        <v>78</v>
      </c>
      <c r="AC1034" s="59"/>
      <c r="AD1034" s="85">
        <v>46043.0</v>
      </c>
      <c r="AE1034" s="86">
        <f t="shared" si="19"/>
        <v>1</v>
      </c>
    </row>
    <row r="1035" ht="15.75" customHeight="1">
      <c r="A1035" s="92" t="s">
        <v>2720</v>
      </c>
      <c r="B1035" s="87" t="s">
        <v>184</v>
      </c>
      <c r="C1035" s="88" t="s">
        <v>2721</v>
      </c>
      <c r="D1035" s="88" t="s">
        <v>51</v>
      </c>
      <c r="E1035" s="88">
        <v>60.0</v>
      </c>
      <c r="F1035" s="89">
        <f>543*2</f>
        <v>1086</v>
      </c>
      <c r="G1035" s="90" t="s">
        <v>53</v>
      </c>
      <c r="H1035" s="91">
        <v>46174.0</v>
      </c>
      <c r="I1035" s="92" t="s">
        <v>17</v>
      </c>
      <c r="J1035" s="92" t="s">
        <v>54</v>
      </c>
      <c r="K1035" s="92" t="s">
        <v>66</v>
      </c>
      <c r="L1035" s="92" t="s">
        <v>67</v>
      </c>
      <c r="M1035" s="90" t="s">
        <v>117</v>
      </c>
      <c r="N1035" s="92" t="s">
        <v>20</v>
      </c>
      <c r="O1035" s="87" t="s">
        <v>69</v>
      </c>
      <c r="P1035" s="87"/>
      <c r="Q1035" s="87" t="s">
        <v>113</v>
      </c>
      <c r="R1035" s="93" t="s">
        <v>718</v>
      </c>
      <c r="S1035" s="87"/>
      <c r="T1035" s="87"/>
      <c r="U1035" s="94" t="str">
        <f t="array" ref="U1035">IFERROR(INDEX(DFD!$D$2:$D$1048791,MATCH($Q1035,DFD!$B$2:$B$1048791,0)),"")</f>
        <v/>
      </c>
      <c r="V1035" s="94" t="str">
        <f t="array" ref="V1035">IFERROR(INDEX(DFD!$F$2:$F$1048791,MATCH($Q1035,DFD!$B$2:$B$1048791,0)),"")</f>
        <v/>
      </c>
      <c r="W1035" s="97" t="str">
        <f t="array" ref="W1035">IFERROR(INDEX(DFD!$E$2:$E$1048791,MATCH($Q1035,DFD!$B$2:$B$1048791,0)),"")</f>
        <v/>
      </c>
      <c r="X1035" s="97" t="str">
        <f t="array" ref="X1035">IFERROR(INDEX(DFD!$K$2:$K$1048791,MATCH($Q1035,DFD!$B$2:$B$1048791,0)),"")</f>
        <v/>
      </c>
      <c r="Y1035" s="97" t="str">
        <f t="array" ref="Y1035">IFERROR(INDEX(DFD!$L$2:$L$1048790,MATCH($Q1035,DFD!$B$2:$B$1048790,0)),"")</f>
        <v/>
      </c>
      <c r="Z1035" s="97">
        <f t="shared" si="21"/>
        <v>45</v>
      </c>
      <c r="AA1035" s="87" t="s">
        <v>746</v>
      </c>
      <c r="AB1035" s="87" t="s">
        <v>78</v>
      </c>
      <c r="AC1035" s="87"/>
      <c r="AD1035" s="99">
        <v>46043.0</v>
      </c>
      <c r="AE1035" s="100">
        <f t="shared" si="19"/>
        <v>1</v>
      </c>
    </row>
    <row r="1036" ht="15.75" customHeight="1">
      <c r="A1036" s="67" t="s">
        <v>2722</v>
      </c>
      <c r="B1036" s="59" t="s">
        <v>94</v>
      </c>
      <c r="C1036" s="60" t="s">
        <v>2723</v>
      </c>
      <c r="D1036" s="60" t="s">
        <v>2724</v>
      </c>
      <c r="E1036" s="60">
        <v>5.0</v>
      </c>
      <c r="F1036" s="72">
        <v>700.0</v>
      </c>
      <c r="G1036" s="73" t="s">
        <v>53</v>
      </c>
      <c r="H1036" s="74">
        <v>46174.0</v>
      </c>
      <c r="I1036" s="67" t="s">
        <v>17</v>
      </c>
      <c r="J1036" s="67" t="s">
        <v>54</v>
      </c>
      <c r="K1036" s="67" t="s">
        <v>66</v>
      </c>
      <c r="L1036" s="67" t="s">
        <v>56</v>
      </c>
      <c r="M1036" s="73" t="s">
        <v>167</v>
      </c>
      <c r="N1036" s="67" t="s">
        <v>20</v>
      </c>
      <c r="O1036" s="59" t="s">
        <v>69</v>
      </c>
      <c r="P1036" s="59"/>
      <c r="Q1036" s="59" t="s">
        <v>1392</v>
      </c>
      <c r="R1036" s="76" t="s">
        <v>114</v>
      </c>
      <c r="S1036" s="59"/>
      <c r="T1036" s="59"/>
      <c r="U1036" s="77" t="str">
        <f t="array" ref="U1036">IFERROR(INDEX(DFD!$D$2:$D$1048791,MATCH($Q1036,DFD!$B$2:$B$1048791,0)),"")</f>
        <v/>
      </c>
      <c r="V1036" s="77" t="s">
        <v>280</v>
      </c>
      <c r="W1036" s="84" t="str">
        <f t="array" ref="W1036">IFERROR(INDEX(DFD!$E$2:$E$1048791,MATCH($Q1036,DFD!$B$2:$B$1048791,0)),"")</f>
        <v/>
      </c>
      <c r="X1036" s="84" t="str">
        <f t="array" ref="X1036">IFERROR(INDEX(DFD!$K$2:$K$1048791,MATCH($Q1036,DFD!$B$2:$B$1048791,0)),"")</f>
        <v/>
      </c>
      <c r="Y1036" s="84" t="str">
        <f t="array" ref="Y1036">IFERROR(INDEX(DFD!$L$2:$L$1048790,MATCH($Q1036,DFD!$B$2:$B$1048790,0)),"")</f>
        <v/>
      </c>
      <c r="Z1036" s="84">
        <f t="shared" si="21"/>
        <v>45</v>
      </c>
      <c r="AA1036" s="59"/>
      <c r="AB1036" s="59" t="s">
        <v>78</v>
      </c>
      <c r="AC1036" s="59"/>
      <c r="AD1036" s="85">
        <v>46043.0</v>
      </c>
      <c r="AE1036" s="86">
        <f t="shared" si="19"/>
        <v>1</v>
      </c>
    </row>
    <row r="1037" ht="15.75" customHeight="1">
      <c r="A1037" s="92" t="s">
        <v>2725</v>
      </c>
      <c r="B1037" s="87" t="s">
        <v>107</v>
      </c>
      <c r="C1037" s="88" t="s">
        <v>2723</v>
      </c>
      <c r="D1037" s="88" t="s">
        <v>2724</v>
      </c>
      <c r="E1037" s="88">
        <v>1.0</v>
      </c>
      <c r="F1037" s="89">
        <v>140.0</v>
      </c>
      <c r="G1037" s="90" t="s">
        <v>53</v>
      </c>
      <c r="H1037" s="91">
        <v>46143.0</v>
      </c>
      <c r="I1037" s="92" t="s">
        <v>17</v>
      </c>
      <c r="J1037" s="92" t="s">
        <v>54</v>
      </c>
      <c r="K1037" s="92" t="s">
        <v>66</v>
      </c>
      <c r="L1037" s="92" t="s">
        <v>56</v>
      </c>
      <c r="M1037" s="90" t="s">
        <v>167</v>
      </c>
      <c r="N1037" s="92" t="s">
        <v>20</v>
      </c>
      <c r="O1037" s="92" t="s">
        <v>89</v>
      </c>
      <c r="P1037" s="87"/>
      <c r="Q1037" s="87" t="s">
        <v>1392</v>
      </c>
      <c r="R1037" s="93" t="s">
        <v>114</v>
      </c>
      <c r="S1037" s="87"/>
      <c r="T1037" s="87"/>
      <c r="U1037" s="94" t="str">
        <f t="array" ref="U1037">IFERROR(INDEX(DFD!$D$2:$D$1048791,MATCH($Q1037,DFD!$B$2:$B$1048791,0)),"")</f>
        <v/>
      </c>
      <c r="V1037" s="94" t="s">
        <v>280</v>
      </c>
      <c r="W1037" s="97" t="str">
        <f t="array" ref="W1037">IFERROR(INDEX(DFD!$E$2:$E$1048791,MATCH($Q1037,DFD!$B$2:$B$1048791,0)),"")</f>
        <v/>
      </c>
      <c r="X1037" s="97" t="str">
        <f t="array" ref="X1037">IFERROR(INDEX(DFD!$K$2:$K$1048791,MATCH($Q1037,DFD!$B$2:$B$1048791,0)),"")</f>
        <v/>
      </c>
      <c r="Y1037" s="97" t="str">
        <f t="array" ref="Y1037">IFERROR(INDEX(DFD!$L$2:$L$1048790,MATCH($Q1037,DFD!$B$2:$B$1048790,0)),"")</f>
        <v/>
      </c>
      <c r="Z1037" s="97">
        <f t="shared" si="21"/>
        <v>45</v>
      </c>
      <c r="AA1037" s="87"/>
      <c r="AB1037" s="87" t="s">
        <v>78</v>
      </c>
      <c r="AC1037" s="87"/>
      <c r="AD1037" s="99">
        <v>46043.0</v>
      </c>
      <c r="AE1037" s="100">
        <f t="shared" si="19"/>
        <v>1</v>
      </c>
    </row>
    <row r="1038" ht="15.75" customHeight="1">
      <c r="A1038" s="59" t="s">
        <v>2726</v>
      </c>
      <c r="B1038" s="59" t="s">
        <v>148</v>
      </c>
      <c r="C1038" s="60" t="s">
        <v>2727</v>
      </c>
      <c r="D1038" s="60" t="s">
        <v>2728</v>
      </c>
      <c r="E1038" s="60">
        <v>10.0</v>
      </c>
      <c r="F1038" s="72">
        <v>1400.0</v>
      </c>
      <c r="G1038" s="73" t="s">
        <v>53</v>
      </c>
      <c r="H1038" s="74">
        <v>46174.0</v>
      </c>
      <c r="I1038" s="67" t="s">
        <v>17</v>
      </c>
      <c r="J1038" s="67" t="s">
        <v>54</v>
      </c>
      <c r="K1038" s="67" t="s">
        <v>66</v>
      </c>
      <c r="L1038" s="67" t="s">
        <v>67</v>
      </c>
      <c r="M1038" s="73" t="s">
        <v>167</v>
      </c>
      <c r="N1038" s="67" t="s">
        <v>5</v>
      </c>
      <c r="O1038" s="59" t="s">
        <v>69</v>
      </c>
      <c r="P1038" s="59"/>
      <c r="Q1038" s="59" t="s">
        <v>1392</v>
      </c>
      <c r="R1038" s="76" t="s">
        <v>114</v>
      </c>
      <c r="S1038" s="59"/>
      <c r="T1038" s="59"/>
      <c r="U1038" s="77" t="str">
        <f t="array" ref="U1038">IFERROR(INDEX(DFD!$D$2:$D$1048791,MATCH($Q1038,DFD!$B$2:$B$1048791,0)),"")</f>
        <v/>
      </c>
      <c r="V1038" s="77" t="s">
        <v>280</v>
      </c>
      <c r="W1038" s="84" t="str">
        <f t="array" ref="W1038">IFERROR(INDEX(DFD!$E$2:$E$1048791,MATCH($Q1038,DFD!$B$2:$B$1048791,0)),"")</f>
        <v/>
      </c>
      <c r="X1038" s="84" t="str">
        <f t="array" ref="X1038">IFERROR(INDEX(DFD!$K$2:$K$1048791,MATCH($Q1038,DFD!$B$2:$B$1048791,0)),"")</f>
        <v/>
      </c>
      <c r="Y1038" s="84" t="str">
        <f t="array" ref="Y1038">IFERROR(INDEX(DFD!$L$2:$L$1048790,MATCH($Q1038,DFD!$B$2:$B$1048790,0)),"")</f>
        <v/>
      </c>
      <c r="Z1038" s="84">
        <f t="shared" si="21"/>
        <v>45</v>
      </c>
      <c r="AA1038" s="59"/>
      <c r="AB1038" s="59" t="s">
        <v>78</v>
      </c>
      <c r="AC1038" s="59"/>
      <c r="AD1038" s="85">
        <v>46043.0</v>
      </c>
      <c r="AE1038" s="86">
        <f t="shared" si="19"/>
        <v>1</v>
      </c>
    </row>
    <row r="1039" ht="15.75" customHeight="1">
      <c r="A1039" s="92" t="s">
        <v>2729</v>
      </c>
      <c r="B1039" s="87" t="s">
        <v>107</v>
      </c>
      <c r="C1039" s="88" t="s">
        <v>2730</v>
      </c>
      <c r="D1039" s="88" t="s">
        <v>51</v>
      </c>
      <c r="E1039" s="88">
        <v>10.0</v>
      </c>
      <c r="F1039" s="89">
        <v>300.0</v>
      </c>
      <c r="G1039" s="90" t="s">
        <v>53</v>
      </c>
      <c r="H1039" s="91">
        <v>46174.0</v>
      </c>
      <c r="I1039" s="92" t="s">
        <v>17</v>
      </c>
      <c r="J1039" s="92" t="s">
        <v>54</v>
      </c>
      <c r="K1039" s="92" t="s">
        <v>66</v>
      </c>
      <c r="L1039" s="92" t="s">
        <v>56</v>
      </c>
      <c r="M1039" s="90" t="s">
        <v>112</v>
      </c>
      <c r="N1039" s="92" t="s">
        <v>20</v>
      </c>
      <c r="O1039" s="87" t="s">
        <v>69</v>
      </c>
      <c r="P1039" s="87"/>
      <c r="Q1039" s="87" t="s">
        <v>1392</v>
      </c>
      <c r="R1039" s="93" t="s">
        <v>114</v>
      </c>
      <c r="S1039" s="87"/>
      <c r="T1039" s="87"/>
      <c r="U1039" s="94" t="str">
        <f t="array" ref="U1039">IFERROR(INDEX(DFD!$D$2:$D$1048791,MATCH($Q1039,DFD!$B$2:$B$1048791,0)),"")</f>
        <v/>
      </c>
      <c r="V1039" s="94" t="s">
        <v>280</v>
      </c>
      <c r="W1039" s="97" t="str">
        <f t="array" ref="W1039">IFERROR(INDEX(DFD!$E$2:$E$1048791,MATCH($Q1039,DFD!$B$2:$B$1048791,0)),"")</f>
        <v/>
      </c>
      <c r="X1039" s="97" t="str">
        <f t="array" ref="X1039">IFERROR(INDEX(DFD!$K$2:$K$1048791,MATCH($Q1039,DFD!$B$2:$B$1048791,0)),"")</f>
        <v/>
      </c>
      <c r="Y1039" s="97" t="str">
        <f t="array" ref="Y1039">IFERROR(INDEX(DFD!$L$2:$L$1048790,MATCH($Q1039,DFD!$B$2:$B$1048790,0)),"")</f>
        <v/>
      </c>
      <c r="Z1039" s="97">
        <f t="shared" si="21"/>
        <v>45</v>
      </c>
      <c r="AA1039" s="87"/>
      <c r="AB1039" s="87" t="s">
        <v>78</v>
      </c>
      <c r="AC1039" s="87"/>
      <c r="AD1039" s="99">
        <v>46043.0</v>
      </c>
      <c r="AE1039" s="100">
        <f t="shared" si="19"/>
        <v>1</v>
      </c>
    </row>
    <row r="1040" ht="15.75" customHeight="1">
      <c r="A1040" s="59" t="s">
        <v>2731</v>
      </c>
      <c r="B1040" s="67" t="s">
        <v>101</v>
      </c>
      <c r="C1040" s="60" t="s">
        <v>2732</v>
      </c>
      <c r="D1040" s="81" t="s">
        <v>51</v>
      </c>
      <c r="E1040" s="81">
        <v>2.0</v>
      </c>
      <c r="F1040" s="101">
        <v>4092.0</v>
      </c>
      <c r="G1040" s="73" t="s">
        <v>53</v>
      </c>
      <c r="H1040" s="83">
        <v>46204.0</v>
      </c>
      <c r="I1040" s="67" t="s">
        <v>18</v>
      </c>
      <c r="J1040" s="67" t="s">
        <v>54</v>
      </c>
      <c r="K1040" s="67" t="s">
        <v>83</v>
      </c>
      <c r="L1040" s="67" t="s">
        <v>56</v>
      </c>
      <c r="M1040" s="73" t="s">
        <v>68</v>
      </c>
      <c r="N1040" s="67" t="s">
        <v>58</v>
      </c>
      <c r="O1040" s="67" t="s">
        <v>89</v>
      </c>
      <c r="P1040" s="59"/>
      <c r="Q1040" s="59" t="s">
        <v>1121</v>
      </c>
      <c r="R1040" s="76" t="s">
        <v>1122</v>
      </c>
      <c r="S1040" s="59"/>
      <c r="T1040" s="59"/>
      <c r="U1040" s="77" t="str">
        <f t="array" ref="U1040">IFERROR(INDEX(DFD!$D$2:$D$1048791,MATCH($Q1040,DFD!$B$2:$B$1048791,0)),"")</f>
        <v/>
      </c>
      <c r="V1040" s="77" t="str">
        <f t="array" ref="V1040">IFERROR(INDEX(DFD!$F$2:$F$1048791,MATCH($Q1040,DFD!$B$2:$B$1048791,0)),"")</f>
        <v/>
      </c>
      <c r="W1040" s="84" t="str">
        <f t="array" ref="W1040">IFERROR(INDEX(DFD!$E$2:$E$1048791,MATCH($Q1040,DFD!$B$2:$B$1048791,0)),"")</f>
        <v/>
      </c>
      <c r="X1040" s="84" t="str">
        <f t="array" ref="X1040">IFERROR(INDEX(DFD!$K$2:$K$1048791,MATCH($Q1040,DFD!$B$2:$B$1048791,0)),"")</f>
        <v/>
      </c>
      <c r="Y1040" s="84" t="str">
        <f t="array" ref="Y1040">IFERROR(INDEX(DFD!$L$2:$L$1048790,MATCH($Q1040,DFD!$B$2:$B$1048790,0)),"")</f>
        <v/>
      </c>
      <c r="Z1040" s="84">
        <f t="shared" si="21"/>
        <v>45</v>
      </c>
      <c r="AA1040" s="59"/>
      <c r="AB1040" s="59" t="s">
        <v>78</v>
      </c>
      <c r="AC1040" s="59"/>
      <c r="AD1040" s="85">
        <v>46043.0</v>
      </c>
      <c r="AE1040" s="86">
        <f t="shared" si="19"/>
        <v>1</v>
      </c>
    </row>
    <row r="1041" ht="15.75" customHeight="1">
      <c r="A1041" s="87" t="s">
        <v>2733</v>
      </c>
      <c r="B1041" s="87" t="s">
        <v>101</v>
      </c>
      <c r="C1041" s="88" t="s">
        <v>2734</v>
      </c>
      <c r="D1041" s="88" t="s">
        <v>51</v>
      </c>
      <c r="E1041" s="88">
        <v>20.0</v>
      </c>
      <c r="F1041" s="89">
        <v>20.0</v>
      </c>
      <c r="G1041" s="90" t="s">
        <v>53</v>
      </c>
      <c r="H1041" s="91">
        <v>46143.0</v>
      </c>
      <c r="I1041" s="92" t="s">
        <v>17</v>
      </c>
      <c r="J1041" s="92" t="s">
        <v>54</v>
      </c>
      <c r="K1041" s="92" t="s">
        <v>66</v>
      </c>
      <c r="L1041" s="92" t="s">
        <v>56</v>
      </c>
      <c r="M1041" s="90" t="s">
        <v>132</v>
      </c>
      <c r="N1041" s="92" t="s">
        <v>58</v>
      </c>
      <c r="O1041" s="87" t="s">
        <v>69</v>
      </c>
      <c r="P1041" s="87"/>
      <c r="Q1041" s="87" t="s">
        <v>491</v>
      </c>
      <c r="R1041" s="93" t="s">
        <v>269</v>
      </c>
      <c r="S1041" s="87"/>
      <c r="T1041" s="87"/>
      <c r="U1041" s="94" t="str">
        <f t="array" ref="U1041">IFERROR(INDEX(DFD!$D$2:$D$1048791,MATCH($Q1041,DFD!$B$2:$B$1048791,0)),"")</f>
        <v/>
      </c>
      <c r="V1041" s="94" t="str">
        <f t="array" ref="V1041">IFERROR(INDEX(DFD!$F$2:$F$1048791,MATCH($Q1041,DFD!$B$2:$B$1048791,0)),"")</f>
        <v/>
      </c>
      <c r="W1041" s="97" t="str">
        <f t="array" ref="W1041">IFERROR(INDEX(DFD!$E$2:$E$1048791,MATCH($Q1041,DFD!$B$2:$B$1048791,0)),"")</f>
        <v/>
      </c>
      <c r="X1041" s="97" t="str">
        <f t="array" ref="X1041">IFERROR(INDEX(DFD!$K$2:$K$1048791,MATCH($Q1041,DFD!$B$2:$B$1048791,0)),"")</f>
        <v/>
      </c>
      <c r="Y1041" s="97" t="str">
        <f t="array" ref="Y1041">IFERROR(INDEX(DFD!$L$2:$L$1048790,MATCH($Q1041,DFD!$B$2:$B$1048790,0)),"")</f>
        <v/>
      </c>
      <c r="Z1041" s="97">
        <f t="shared" si="21"/>
        <v>45</v>
      </c>
      <c r="AA1041" s="87"/>
      <c r="AB1041" s="87" t="s">
        <v>78</v>
      </c>
      <c r="AC1041" s="87"/>
      <c r="AD1041" s="99">
        <v>46043.0</v>
      </c>
      <c r="AE1041" s="100">
        <f t="shared" si="19"/>
        <v>1</v>
      </c>
    </row>
    <row r="1042" ht="15.75" customHeight="1">
      <c r="A1042" s="67" t="s">
        <v>2735</v>
      </c>
      <c r="B1042" s="59" t="s">
        <v>184</v>
      </c>
      <c r="C1042" s="60" t="s">
        <v>2736</v>
      </c>
      <c r="D1042" s="60" t="s">
        <v>51</v>
      </c>
      <c r="E1042" s="60">
        <v>50.0</v>
      </c>
      <c r="F1042" s="72">
        <v>102.5</v>
      </c>
      <c r="G1042" s="73" t="s">
        <v>53</v>
      </c>
      <c r="H1042" s="74">
        <v>46143.0</v>
      </c>
      <c r="I1042" s="67" t="s">
        <v>17</v>
      </c>
      <c r="J1042" s="67" t="s">
        <v>54</v>
      </c>
      <c r="K1042" s="67" t="s">
        <v>66</v>
      </c>
      <c r="L1042" s="67" t="s">
        <v>67</v>
      </c>
      <c r="M1042" s="73" t="s">
        <v>117</v>
      </c>
      <c r="N1042" s="67" t="s">
        <v>20</v>
      </c>
      <c r="O1042" s="59" t="s">
        <v>69</v>
      </c>
      <c r="P1042" s="59"/>
      <c r="Q1042" s="59" t="s">
        <v>491</v>
      </c>
      <c r="R1042" s="76" t="s">
        <v>269</v>
      </c>
      <c r="S1042" s="59"/>
      <c r="T1042" s="59"/>
      <c r="U1042" s="77" t="str">
        <f t="array" ref="U1042">IFERROR(INDEX(DFD!$D$2:$D$1048791,MATCH($Q1042,DFD!$B$2:$B$1048791,0)),"")</f>
        <v/>
      </c>
      <c r="V1042" s="77" t="str">
        <f t="array" ref="V1042">IFERROR(INDEX(DFD!$F$2:$F$1048791,MATCH($Q1042,DFD!$B$2:$B$1048791,0)),"")</f>
        <v/>
      </c>
      <c r="W1042" s="84" t="str">
        <f t="array" ref="W1042">IFERROR(INDEX(DFD!$E$2:$E$1048791,MATCH($Q1042,DFD!$B$2:$B$1048791,0)),"")</f>
        <v/>
      </c>
      <c r="X1042" s="84" t="str">
        <f t="array" ref="X1042">IFERROR(INDEX(DFD!$K$2:$K$1048791,MATCH($Q1042,DFD!$B$2:$B$1048791,0)),"")</f>
        <v/>
      </c>
      <c r="Y1042" s="84" t="str">
        <f t="array" ref="Y1042">IFERROR(INDEX(DFD!$L$2:$L$1048790,MATCH($Q1042,DFD!$B$2:$B$1048790,0)),"")</f>
        <v/>
      </c>
      <c r="Z1042" s="84">
        <f t="shared" si="21"/>
        <v>45</v>
      </c>
      <c r="AA1042" s="59"/>
      <c r="AB1042" s="59" t="s">
        <v>78</v>
      </c>
      <c r="AC1042" s="59"/>
      <c r="AD1042" s="85">
        <v>46043.0</v>
      </c>
      <c r="AE1042" s="86">
        <f t="shared" si="19"/>
        <v>1</v>
      </c>
    </row>
    <row r="1043" ht="15.75" customHeight="1">
      <c r="A1043" s="92" t="s">
        <v>2737</v>
      </c>
      <c r="B1043" s="87" t="s">
        <v>184</v>
      </c>
      <c r="C1043" s="88" t="s">
        <v>2738</v>
      </c>
      <c r="D1043" s="88" t="s">
        <v>51</v>
      </c>
      <c r="E1043" s="88">
        <v>500.0</v>
      </c>
      <c r="F1043" s="89">
        <v>3250.0</v>
      </c>
      <c r="G1043" s="90" t="s">
        <v>53</v>
      </c>
      <c r="H1043" s="91">
        <v>46174.0</v>
      </c>
      <c r="I1043" s="92" t="s">
        <v>17</v>
      </c>
      <c r="J1043" s="92" t="s">
        <v>54</v>
      </c>
      <c r="K1043" s="92" t="s">
        <v>66</v>
      </c>
      <c r="L1043" s="92" t="s">
        <v>67</v>
      </c>
      <c r="M1043" s="90" t="s">
        <v>68</v>
      </c>
      <c r="N1043" s="92" t="s">
        <v>20</v>
      </c>
      <c r="O1043" s="92" t="s">
        <v>89</v>
      </c>
      <c r="P1043" s="87"/>
      <c r="Q1043" s="87" t="s">
        <v>259</v>
      </c>
      <c r="R1043" s="93" t="s">
        <v>269</v>
      </c>
      <c r="S1043" s="87"/>
      <c r="T1043" s="87"/>
      <c r="U1043" s="94" t="str">
        <f t="array" ref="U1043">IFERROR(INDEX(DFD!$D$2:$D$1048791,MATCH($Q1043,DFD!$B$2:$B$1048791,0)),"")</f>
        <v/>
      </c>
      <c r="V1043" s="94" t="str">
        <f t="array" ref="V1043">IFERROR(INDEX(DFD!$F$2:$F$1048791,MATCH($Q1043,DFD!$B$2:$B$1048791,0)),"")</f>
        <v/>
      </c>
      <c r="W1043" s="97" t="str">
        <f t="array" ref="W1043">IFERROR(INDEX(DFD!$E$2:$E$1048791,MATCH($Q1043,DFD!$B$2:$B$1048791,0)),"")</f>
        <v/>
      </c>
      <c r="X1043" s="97" t="str">
        <f t="array" ref="X1043">IFERROR(INDEX(DFD!$K$2:$K$1048791,MATCH($Q1043,DFD!$B$2:$B$1048791,0)),"")</f>
        <v/>
      </c>
      <c r="Y1043" s="97" t="str">
        <f t="array" ref="Y1043">IFERROR(INDEX(DFD!$L$2:$L$1048790,MATCH($Q1043,DFD!$B$2:$B$1048790,0)),"")</f>
        <v/>
      </c>
      <c r="Z1043" s="97">
        <f t="shared" si="21"/>
        <v>45</v>
      </c>
      <c r="AA1043" s="87"/>
      <c r="AB1043" s="87" t="s">
        <v>78</v>
      </c>
      <c r="AC1043" s="87"/>
      <c r="AD1043" s="99">
        <v>46043.0</v>
      </c>
      <c r="AE1043" s="100">
        <f t="shared" si="19"/>
        <v>1</v>
      </c>
    </row>
    <row r="1044" ht="15.75" customHeight="1">
      <c r="A1044" s="59" t="s">
        <v>2739</v>
      </c>
      <c r="B1044" s="67" t="s">
        <v>101</v>
      </c>
      <c r="C1044" s="60" t="s">
        <v>2740</v>
      </c>
      <c r="D1044" s="81" t="s">
        <v>51</v>
      </c>
      <c r="E1044" s="81">
        <v>6.0</v>
      </c>
      <c r="F1044" s="101">
        <v>6840.0</v>
      </c>
      <c r="G1044" s="73" t="s">
        <v>53</v>
      </c>
      <c r="H1044" s="83">
        <v>46204.0</v>
      </c>
      <c r="I1044" s="67" t="s">
        <v>18</v>
      </c>
      <c r="J1044" s="67" t="s">
        <v>54</v>
      </c>
      <c r="K1044" s="67" t="s">
        <v>83</v>
      </c>
      <c r="L1044" s="67" t="s">
        <v>56</v>
      </c>
      <c r="M1044" s="73" t="s">
        <v>112</v>
      </c>
      <c r="N1044" s="67" t="s">
        <v>58</v>
      </c>
      <c r="O1044" s="59" t="s">
        <v>69</v>
      </c>
      <c r="P1044" s="59"/>
      <c r="Q1044" s="59" t="s">
        <v>275</v>
      </c>
      <c r="R1044" s="76" t="s">
        <v>2316</v>
      </c>
      <c r="S1044" s="59"/>
      <c r="T1044" s="59"/>
      <c r="U1044" s="77" t="str">
        <f t="array" ref="U1044">IFERROR(INDEX(DFD!$D$2:$D$1048791,MATCH($Q1044,DFD!$B$2:$B$1048791,0)),"")</f>
        <v/>
      </c>
      <c r="V1044" s="77" t="str">
        <f t="array" ref="V1044">IFERROR(INDEX(DFD!$F$2:$F$1048791,MATCH($Q1044,DFD!$B$2:$B$1048791,0)),"")</f>
        <v/>
      </c>
      <c r="W1044" s="84" t="str">
        <f t="array" ref="W1044">IFERROR(INDEX(DFD!$E$2:$E$1048791,MATCH($Q1044,DFD!$B$2:$B$1048791,0)),"")</f>
        <v/>
      </c>
      <c r="X1044" s="84" t="str">
        <f t="array" ref="X1044">IFERROR(INDEX(DFD!$K$2:$K$1048791,MATCH($Q1044,DFD!$B$2:$B$1048791,0)),"")</f>
        <v/>
      </c>
      <c r="Y1044" s="84" t="str">
        <f t="array" ref="Y1044">IFERROR(INDEX(DFD!$L$2:$L$1048790,MATCH($Q1044,DFD!$B$2:$B$1048790,0)),"")</f>
        <v/>
      </c>
      <c r="Z1044" s="84">
        <f t="shared" si="21"/>
        <v>45</v>
      </c>
      <c r="AA1044" s="59"/>
      <c r="AB1044" s="59" t="s">
        <v>78</v>
      </c>
      <c r="AC1044" s="59"/>
      <c r="AD1044" s="85">
        <v>46043.0</v>
      </c>
      <c r="AE1044" s="86">
        <f t="shared" si="19"/>
        <v>1</v>
      </c>
    </row>
    <row r="1045" ht="15.75" customHeight="1">
      <c r="A1045" s="87" t="s">
        <v>2741</v>
      </c>
      <c r="B1045" s="87" t="s">
        <v>136</v>
      </c>
      <c r="C1045" s="88" t="s">
        <v>2742</v>
      </c>
      <c r="D1045" s="88" t="s">
        <v>1950</v>
      </c>
      <c r="E1045" s="88">
        <v>6.0</v>
      </c>
      <c r="F1045" s="89">
        <v>33.0</v>
      </c>
      <c r="G1045" s="90" t="s">
        <v>53</v>
      </c>
      <c r="H1045" s="91">
        <v>46143.0</v>
      </c>
      <c r="I1045" s="92" t="s">
        <v>17</v>
      </c>
      <c r="J1045" s="92" t="s">
        <v>54</v>
      </c>
      <c r="K1045" s="92" t="s">
        <v>66</v>
      </c>
      <c r="L1045" s="92" t="s">
        <v>67</v>
      </c>
      <c r="M1045" s="90" t="s">
        <v>167</v>
      </c>
      <c r="N1045" s="92" t="s">
        <v>5</v>
      </c>
      <c r="O1045" s="87" t="s">
        <v>69</v>
      </c>
      <c r="P1045" s="87"/>
      <c r="Q1045" s="87" t="s">
        <v>139</v>
      </c>
      <c r="R1045" s="93" t="s">
        <v>140</v>
      </c>
      <c r="S1045" s="87"/>
      <c r="T1045" s="87"/>
      <c r="U1045" s="94" t="str">
        <f t="array" ref="U1045">IFERROR(INDEX(DFD!$D$2:$D$1048791,MATCH($Q1045,DFD!$B$2:$B$1048791,0)),"")</f>
        <v/>
      </c>
      <c r="V1045" s="94" t="str">
        <f t="array" ref="V1045">IFERROR(INDEX(DFD!$F$2:$F$1048791,MATCH($Q1045,DFD!$B$2:$B$1048791,0)),"")</f>
        <v/>
      </c>
      <c r="W1045" s="97" t="str">
        <f t="array" ref="W1045">IFERROR(INDEX(DFD!$E$2:$E$1048791,MATCH($Q1045,DFD!$B$2:$B$1048791,0)),"")</f>
        <v/>
      </c>
      <c r="X1045" s="97" t="str">
        <f t="array" ref="X1045">IFERROR(INDEX(DFD!$K$2:$K$1048791,MATCH($Q1045,DFD!$B$2:$B$1048791,0)),"")</f>
        <v/>
      </c>
      <c r="Y1045" s="97" t="str">
        <f t="array" ref="Y1045">IFERROR(INDEX(DFD!$L$2:$L$1048790,MATCH($Q1045,DFD!$B$2:$B$1048790,0)),"")</f>
        <v/>
      </c>
      <c r="Z1045" s="97">
        <f t="shared" si="21"/>
        <v>45</v>
      </c>
      <c r="AA1045" s="87"/>
      <c r="AB1045" s="87" t="s">
        <v>78</v>
      </c>
      <c r="AC1045" s="87"/>
      <c r="AD1045" s="99">
        <v>46043.0</v>
      </c>
      <c r="AE1045" s="100">
        <f t="shared" si="19"/>
        <v>1</v>
      </c>
    </row>
    <row r="1046" ht="15.75" customHeight="1">
      <c r="A1046" s="59" t="s">
        <v>2743</v>
      </c>
      <c r="B1046" s="59" t="s">
        <v>136</v>
      </c>
      <c r="C1046" s="60" t="s">
        <v>2744</v>
      </c>
      <c r="D1046" s="60" t="s">
        <v>1950</v>
      </c>
      <c r="E1046" s="60">
        <v>6.0</v>
      </c>
      <c r="F1046" s="72">
        <v>33.0</v>
      </c>
      <c r="G1046" s="73" t="s">
        <v>53</v>
      </c>
      <c r="H1046" s="74">
        <v>46143.0</v>
      </c>
      <c r="I1046" s="67" t="s">
        <v>17</v>
      </c>
      <c r="J1046" s="67" t="s">
        <v>54</v>
      </c>
      <c r="K1046" s="67" t="s">
        <v>66</v>
      </c>
      <c r="L1046" s="67" t="s">
        <v>67</v>
      </c>
      <c r="M1046" s="73" t="s">
        <v>167</v>
      </c>
      <c r="N1046" s="67" t="s">
        <v>5</v>
      </c>
      <c r="O1046" s="67" t="s">
        <v>89</v>
      </c>
      <c r="P1046" s="59"/>
      <c r="Q1046" s="59" t="s">
        <v>139</v>
      </c>
      <c r="R1046" s="76" t="s">
        <v>140</v>
      </c>
      <c r="S1046" s="59"/>
      <c r="T1046" s="59"/>
      <c r="U1046" s="77" t="str">
        <f t="array" ref="U1046">IFERROR(INDEX(DFD!$D$2:$D$1048791,MATCH($Q1046,DFD!$B$2:$B$1048791,0)),"")</f>
        <v/>
      </c>
      <c r="V1046" s="77" t="str">
        <f t="array" ref="V1046">IFERROR(INDEX(DFD!$F$2:$F$1048791,MATCH($Q1046,DFD!$B$2:$B$1048791,0)),"")</f>
        <v/>
      </c>
      <c r="W1046" s="84" t="str">
        <f t="array" ref="W1046">IFERROR(INDEX(DFD!$E$2:$E$1048791,MATCH($Q1046,DFD!$B$2:$B$1048791,0)),"")</f>
        <v/>
      </c>
      <c r="X1046" s="84" t="str">
        <f t="array" ref="X1046">IFERROR(INDEX(DFD!$K$2:$K$1048791,MATCH($Q1046,DFD!$B$2:$B$1048791,0)),"")</f>
        <v/>
      </c>
      <c r="Y1046" s="84" t="str">
        <f t="array" ref="Y1046">IFERROR(INDEX(DFD!$L$2:$L$1048790,MATCH($Q1046,DFD!$B$2:$B$1048790,0)),"")</f>
        <v/>
      </c>
      <c r="Z1046" s="84">
        <f t="shared" si="21"/>
        <v>45</v>
      </c>
      <c r="AA1046" s="59"/>
      <c r="AB1046" s="59" t="s">
        <v>78</v>
      </c>
      <c r="AC1046" s="59"/>
      <c r="AD1046" s="85">
        <v>46043.0</v>
      </c>
      <c r="AE1046" s="86">
        <f t="shared" si="19"/>
        <v>1</v>
      </c>
    </row>
    <row r="1047" ht="15.75" customHeight="1">
      <c r="A1047" s="87" t="s">
        <v>2745</v>
      </c>
      <c r="B1047" s="87" t="s">
        <v>1245</v>
      </c>
      <c r="C1047" s="116" t="s">
        <v>2746</v>
      </c>
      <c r="D1047" s="87" t="s">
        <v>51</v>
      </c>
      <c r="E1047" s="87">
        <v>1.0</v>
      </c>
      <c r="F1047" s="89">
        <v>725000.0</v>
      </c>
      <c r="G1047" s="90" t="s">
        <v>53</v>
      </c>
      <c r="H1047" s="91">
        <v>46235.0</v>
      </c>
      <c r="I1047" s="92" t="s">
        <v>17</v>
      </c>
      <c r="J1047" s="92" t="s">
        <v>54</v>
      </c>
      <c r="K1047" s="92" t="s">
        <v>55</v>
      </c>
      <c r="L1047" s="92" t="s">
        <v>1247</v>
      </c>
      <c r="M1047" s="90" t="s">
        <v>1248</v>
      </c>
      <c r="N1047" s="92" t="s">
        <v>52</v>
      </c>
      <c r="O1047" s="87" t="s">
        <v>69</v>
      </c>
      <c r="P1047" s="87"/>
      <c r="Q1047" s="87" t="s">
        <v>52</v>
      </c>
      <c r="R1047" s="93" t="s">
        <v>2746</v>
      </c>
      <c r="S1047" s="87"/>
      <c r="T1047" s="87"/>
      <c r="U1047" s="94" t="str">
        <f t="array" ref="U1047">IFERROR(INDEX(DFD!$D$2:$D$1048791,MATCH($Q1047,DFD!$B$2:$B$1048791,0)),"")</f>
        <v/>
      </c>
      <c r="V1047" s="94" t="str">
        <f t="array" ref="V1047">IFERROR(INDEX(DFD!$F$2:$F$1048791,MATCH($Q1047,DFD!$B$2:$B$1048791,0)),"")</f>
        <v/>
      </c>
      <c r="W1047" s="97" t="str">
        <f t="array" ref="W1047">IFERROR(INDEX(DFD!$E$2:$E$1048791,MATCH($Q1047,DFD!$B$2:$B$1048791,0)),"")</f>
        <v/>
      </c>
      <c r="X1047" s="97" t="str">
        <f t="array" ref="X1047">IFERROR(INDEX(DFD!$K$2:$K$1048791,MATCH($Q1047,DFD!$B$2:$B$1048791,0)),"")</f>
        <v/>
      </c>
      <c r="Y1047" s="97" t="str">
        <f t="array" ref="Y1047">IFERROR(INDEX(DFD!$L$2:$L$1048790,MATCH($Q1047,DFD!$B$2:$B$1048790,0)),"")</f>
        <v/>
      </c>
      <c r="Z1047" s="97">
        <f t="shared" si="21"/>
        <v>45</v>
      </c>
      <c r="AA1047" s="87"/>
      <c r="AB1047" s="87" t="s">
        <v>72</v>
      </c>
      <c r="AC1047" s="87"/>
      <c r="AD1047" s="99">
        <v>46043.0</v>
      </c>
      <c r="AE1047" s="100">
        <f t="shared" si="19"/>
        <v>1</v>
      </c>
    </row>
    <row r="1048" ht="15.75" customHeight="1">
      <c r="A1048" s="67" t="s">
        <v>2747</v>
      </c>
      <c r="B1048" s="59" t="s">
        <v>155</v>
      </c>
      <c r="C1048" s="60" t="s">
        <v>2748</v>
      </c>
      <c r="D1048" s="60" t="s">
        <v>51</v>
      </c>
      <c r="E1048" s="60">
        <v>4.0</v>
      </c>
      <c r="F1048" s="72">
        <v>500.0</v>
      </c>
      <c r="G1048" s="73" t="s">
        <v>53</v>
      </c>
      <c r="H1048" s="74">
        <v>46174.0</v>
      </c>
      <c r="I1048" s="67" t="s">
        <v>17</v>
      </c>
      <c r="J1048" s="67" t="s">
        <v>54</v>
      </c>
      <c r="K1048" s="67" t="s">
        <v>66</v>
      </c>
      <c r="L1048" s="67" t="s">
        <v>56</v>
      </c>
      <c r="M1048" s="73" t="s">
        <v>104</v>
      </c>
      <c r="N1048" s="67" t="s">
        <v>20</v>
      </c>
      <c r="O1048" s="59" t="s">
        <v>69</v>
      </c>
      <c r="P1048" s="59"/>
      <c r="Q1048" s="59" t="s">
        <v>759</v>
      </c>
      <c r="R1048" s="76" t="s">
        <v>323</v>
      </c>
      <c r="S1048" s="59"/>
      <c r="T1048" s="59"/>
      <c r="U1048" s="77" t="str">
        <f t="array" ref="U1048">IFERROR(INDEX(DFD!$D$2:$D$1048791,MATCH($Q1048,DFD!$B$2:$B$1048791,0)),"")</f>
        <v/>
      </c>
      <c r="V1048" s="77" t="str">
        <f t="array" ref="V1048">IFERROR(INDEX(DFD!$F$2:$F$1048791,MATCH($Q1048,DFD!$B$2:$B$1048791,0)),"")</f>
        <v/>
      </c>
      <c r="W1048" s="84" t="str">
        <f t="array" ref="W1048">IFERROR(INDEX(DFD!$E$2:$E$1048791,MATCH($Q1048,DFD!$B$2:$B$1048791,0)),"")</f>
        <v/>
      </c>
      <c r="X1048" s="84" t="str">
        <f t="array" ref="X1048">IFERROR(INDEX(DFD!$K$2:$K$1048791,MATCH($Q1048,DFD!$B$2:$B$1048791,0)),"")</f>
        <v/>
      </c>
      <c r="Y1048" s="84" t="str">
        <f t="array" ref="Y1048">IFERROR(INDEX(DFD!$L$2:$L$1048790,MATCH($Q1048,DFD!$B$2:$B$1048790,0)),"")</f>
        <v/>
      </c>
      <c r="Z1048" s="84">
        <f t="shared" si="21"/>
        <v>45</v>
      </c>
      <c r="AA1048" s="59"/>
      <c r="AB1048" s="59" t="s">
        <v>78</v>
      </c>
      <c r="AC1048" s="59"/>
      <c r="AD1048" s="85">
        <v>46043.0</v>
      </c>
      <c r="AE1048" s="86">
        <f t="shared" si="19"/>
        <v>1</v>
      </c>
    </row>
    <row r="1049" ht="15.75" customHeight="1">
      <c r="A1049" s="92" t="s">
        <v>2749</v>
      </c>
      <c r="B1049" s="87" t="s">
        <v>184</v>
      </c>
      <c r="C1049" s="88" t="s">
        <v>2750</v>
      </c>
      <c r="D1049" s="88" t="s">
        <v>51</v>
      </c>
      <c r="E1049" s="88">
        <v>30.0</v>
      </c>
      <c r="F1049" s="89">
        <v>327.0</v>
      </c>
      <c r="G1049" s="90" t="s">
        <v>53</v>
      </c>
      <c r="H1049" s="91">
        <v>46174.0</v>
      </c>
      <c r="I1049" s="92" t="s">
        <v>17</v>
      </c>
      <c r="J1049" s="92" t="s">
        <v>54</v>
      </c>
      <c r="K1049" s="92" t="s">
        <v>66</v>
      </c>
      <c r="L1049" s="92" t="s">
        <v>67</v>
      </c>
      <c r="M1049" s="90" t="s">
        <v>57</v>
      </c>
      <c r="N1049" s="92" t="s">
        <v>20</v>
      </c>
      <c r="O1049" s="92" t="s">
        <v>89</v>
      </c>
      <c r="P1049" s="87"/>
      <c r="Q1049" s="87" t="s">
        <v>113</v>
      </c>
      <c r="R1049" s="93" t="s">
        <v>718</v>
      </c>
      <c r="S1049" s="87"/>
      <c r="T1049" s="87"/>
      <c r="U1049" s="94" t="str">
        <f t="array" ref="U1049">IFERROR(INDEX(DFD!$D$2:$D$1048791,MATCH($Q1049,DFD!$B$2:$B$1048791,0)),"")</f>
        <v/>
      </c>
      <c r="V1049" s="94" t="str">
        <f t="array" ref="V1049">IFERROR(INDEX(DFD!$F$2:$F$1048791,MATCH($Q1049,DFD!$B$2:$B$1048791,0)),"")</f>
        <v/>
      </c>
      <c r="W1049" s="97" t="str">
        <f t="array" ref="W1049">IFERROR(INDEX(DFD!$E$2:$E$1048791,MATCH($Q1049,DFD!$B$2:$B$1048791,0)),"")</f>
        <v/>
      </c>
      <c r="X1049" s="97" t="str">
        <f t="array" ref="X1049">IFERROR(INDEX(DFD!$K$2:$K$1048791,MATCH($Q1049,DFD!$B$2:$B$1048791,0)),"")</f>
        <v/>
      </c>
      <c r="Y1049" s="97" t="str">
        <f t="array" ref="Y1049">IFERROR(INDEX(DFD!$L$2:$L$1048790,MATCH($Q1049,DFD!$B$2:$B$1048790,0)),"")</f>
        <v/>
      </c>
      <c r="Z1049" s="97">
        <f t="shared" si="21"/>
        <v>45</v>
      </c>
      <c r="AA1049" s="87" t="s">
        <v>746</v>
      </c>
      <c r="AB1049" s="87" t="s">
        <v>78</v>
      </c>
      <c r="AC1049" s="87"/>
      <c r="AD1049" s="99">
        <v>46043.0</v>
      </c>
      <c r="AE1049" s="100">
        <f t="shared" si="19"/>
        <v>1</v>
      </c>
    </row>
    <row r="1050" ht="15.75" customHeight="1">
      <c r="A1050" s="67" t="s">
        <v>2751</v>
      </c>
      <c r="B1050" s="59" t="s">
        <v>184</v>
      </c>
      <c r="C1050" s="60" t="s">
        <v>2752</v>
      </c>
      <c r="D1050" s="60" t="s">
        <v>51</v>
      </c>
      <c r="E1050" s="60">
        <v>30.0</v>
      </c>
      <c r="F1050" s="72">
        <v>163.0</v>
      </c>
      <c r="G1050" s="73" t="s">
        <v>53</v>
      </c>
      <c r="H1050" s="74">
        <v>46266.0</v>
      </c>
      <c r="I1050" s="67" t="s">
        <v>17</v>
      </c>
      <c r="J1050" s="67" t="s">
        <v>54</v>
      </c>
      <c r="K1050" s="67" t="s">
        <v>372</v>
      </c>
      <c r="L1050" s="67" t="s">
        <v>67</v>
      </c>
      <c r="M1050" s="73" t="s">
        <v>104</v>
      </c>
      <c r="N1050" s="67" t="s">
        <v>20</v>
      </c>
      <c r="O1050" s="59" t="s">
        <v>69</v>
      </c>
      <c r="P1050" s="59"/>
      <c r="Q1050" s="59" t="s">
        <v>113</v>
      </c>
      <c r="R1050" s="76" t="s">
        <v>503</v>
      </c>
      <c r="S1050" s="120"/>
      <c r="T1050" s="59"/>
      <c r="U1050" s="77" t="str">
        <f t="array" ref="U1050">IFERROR(INDEX(DFD!$D$2:$D$1048791,MATCH($Q1050,DFD!$B$2:$B$1048791,0)),"")</f>
        <v/>
      </c>
      <c r="V1050" s="77" t="str">
        <f t="array" ref="V1050">IFERROR(INDEX(DFD!$F$2:$F$1048791,MATCH($Q1050,DFD!$B$2:$B$1048791,0)),"")</f>
        <v/>
      </c>
      <c r="W1050" s="84" t="str">
        <f t="array" ref="W1050">IFERROR(INDEX(DFD!$E$2:$E$1048791,MATCH($Q1050,DFD!$B$2:$B$1048791,0)),"")</f>
        <v/>
      </c>
      <c r="X1050" s="84" t="str">
        <f t="array" ref="X1050">IFERROR(INDEX(DFD!$K$2:$K$1048791,MATCH($Q1050,DFD!$B$2:$B$1048791,0)),"")</f>
        <v/>
      </c>
      <c r="Y1050" s="84" t="str">
        <f t="array" ref="Y1050">IFERROR(INDEX(DFD!$L$2:$L$1048790,MATCH($Q1050,DFD!$B$2:$B$1048790,0)),"")</f>
        <v/>
      </c>
      <c r="Z1050" s="84">
        <f t="shared" si="21"/>
        <v>45</v>
      </c>
      <c r="AA1050" s="59"/>
      <c r="AB1050" s="59" t="s">
        <v>78</v>
      </c>
      <c r="AC1050" s="59"/>
      <c r="AD1050" s="85">
        <v>46043.0</v>
      </c>
      <c r="AE1050" s="86">
        <f t="shared" si="19"/>
        <v>1</v>
      </c>
    </row>
    <row r="1051" ht="15.75" customHeight="1">
      <c r="A1051" s="92" t="s">
        <v>2753</v>
      </c>
      <c r="B1051" s="87" t="s">
        <v>184</v>
      </c>
      <c r="C1051" s="88" t="s">
        <v>2754</v>
      </c>
      <c r="D1051" s="88" t="s">
        <v>51</v>
      </c>
      <c r="E1051" s="88">
        <v>130.0</v>
      </c>
      <c r="F1051" s="89">
        <v>2047.5</v>
      </c>
      <c r="G1051" s="90" t="s">
        <v>53</v>
      </c>
      <c r="H1051" s="91">
        <v>46174.0</v>
      </c>
      <c r="I1051" s="92" t="s">
        <v>17</v>
      </c>
      <c r="J1051" s="92" t="s">
        <v>54</v>
      </c>
      <c r="K1051" s="92" t="s">
        <v>66</v>
      </c>
      <c r="L1051" s="92" t="s">
        <v>67</v>
      </c>
      <c r="M1051" s="90" t="s">
        <v>57</v>
      </c>
      <c r="N1051" s="92" t="s">
        <v>20</v>
      </c>
      <c r="O1051" s="87" t="s">
        <v>69</v>
      </c>
      <c r="P1051" s="87"/>
      <c r="Q1051" s="87" t="s">
        <v>715</v>
      </c>
      <c r="R1051" s="93" t="s">
        <v>269</v>
      </c>
      <c r="S1051" s="87"/>
      <c r="T1051" s="87"/>
      <c r="U1051" s="94" t="str">
        <f t="array" ref="U1051">IFERROR(INDEX(DFD!$D$2:$D$1048791,MATCH($Q1051,DFD!$B$2:$B$1048791,0)),"")</f>
        <v/>
      </c>
      <c r="V1051" s="94" t="str">
        <f t="array" ref="V1051">IFERROR(INDEX(DFD!$F$2:$F$1048791,MATCH($Q1051,DFD!$B$2:$B$1048791,0)),"")</f>
        <v/>
      </c>
      <c r="W1051" s="97" t="str">
        <f t="array" ref="W1051">IFERROR(INDEX(DFD!$E$2:$E$1048791,MATCH($Q1051,DFD!$B$2:$B$1048791,0)),"")</f>
        <v/>
      </c>
      <c r="X1051" s="97" t="str">
        <f t="array" ref="X1051">IFERROR(INDEX(DFD!$K$2:$K$1048791,MATCH($Q1051,DFD!$B$2:$B$1048791,0)),"")</f>
        <v/>
      </c>
      <c r="Y1051" s="97" t="str">
        <f t="array" ref="Y1051">IFERROR(INDEX(DFD!$L$2:$L$1048790,MATCH($Q1051,DFD!$B$2:$B$1048790,0)),"")</f>
        <v/>
      </c>
      <c r="Z1051" s="97">
        <f t="shared" si="21"/>
        <v>45</v>
      </c>
      <c r="AA1051" s="87"/>
      <c r="AB1051" s="87" t="s">
        <v>78</v>
      </c>
      <c r="AC1051" s="87"/>
      <c r="AD1051" s="99">
        <v>46043.0</v>
      </c>
      <c r="AE1051" s="100">
        <f t="shared" si="19"/>
        <v>1</v>
      </c>
    </row>
    <row r="1052" ht="15.75" customHeight="1">
      <c r="A1052" s="67" t="s">
        <v>2755</v>
      </c>
      <c r="B1052" s="59" t="s">
        <v>184</v>
      </c>
      <c r="C1052" s="60" t="s">
        <v>2756</v>
      </c>
      <c r="D1052" s="60" t="s">
        <v>51</v>
      </c>
      <c r="E1052" s="60">
        <v>130.0</v>
      </c>
      <c r="F1052" s="72">
        <v>2047.5</v>
      </c>
      <c r="G1052" s="73" t="s">
        <v>53</v>
      </c>
      <c r="H1052" s="74">
        <v>46174.0</v>
      </c>
      <c r="I1052" s="67" t="s">
        <v>17</v>
      </c>
      <c r="J1052" s="67" t="s">
        <v>54</v>
      </c>
      <c r="K1052" s="67" t="s">
        <v>66</v>
      </c>
      <c r="L1052" s="67" t="s">
        <v>67</v>
      </c>
      <c r="M1052" s="73" t="s">
        <v>57</v>
      </c>
      <c r="N1052" s="67" t="s">
        <v>20</v>
      </c>
      <c r="O1052" s="67" t="s">
        <v>89</v>
      </c>
      <c r="P1052" s="59"/>
      <c r="Q1052" s="59" t="s">
        <v>715</v>
      </c>
      <c r="R1052" s="76" t="s">
        <v>269</v>
      </c>
      <c r="S1052" s="59"/>
      <c r="T1052" s="59"/>
      <c r="U1052" s="77" t="str">
        <f t="array" ref="U1052">IFERROR(INDEX(DFD!$D$2:$D$1048791,MATCH($Q1052,DFD!$B$2:$B$1048791,0)),"")</f>
        <v/>
      </c>
      <c r="V1052" s="77" t="str">
        <f t="array" ref="V1052">IFERROR(INDEX(DFD!$F$2:$F$1048791,MATCH($Q1052,DFD!$B$2:$B$1048791,0)),"")</f>
        <v/>
      </c>
      <c r="W1052" s="84" t="str">
        <f t="array" ref="W1052">IFERROR(INDEX(DFD!$E$2:$E$1048791,MATCH($Q1052,DFD!$B$2:$B$1048791,0)),"")</f>
        <v/>
      </c>
      <c r="X1052" s="84" t="str">
        <f t="array" ref="X1052">IFERROR(INDEX(DFD!$K$2:$K$1048791,MATCH($Q1052,DFD!$B$2:$B$1048791,0)),"")</f>
        <v/>
      </c>
      <c r="Y1052" s="84" t="str">
        <f t="array" ref="Y1052">IFERROR(INDEX(DFD!$L$2:$L$1048790,MATCH($Q1052,DFD!$B$2:$B$1048790,0)),"")</f>
        <v/>
      </c>
      <c r="Z1052" s="84">
        <f t="shared" si="21"/>
        <v>45</v>
      </c>
      <c r="AA1052" s="59"/>
      <c r="AB1052" s="59" t="s">
        <v>78</v>
      </c>
      <c r="AC1052" s="59"/>
      <c r="AD1052" s="85">
        <v>46043.0</v>
      </c>
      <c r="AE1052" s="86">
        <f t="shared" si="19"/>
        <v>1</v>
      </c>
    </row>
    <row r="1053" ht="15.75" customHeight="1">
      <c r="A1053" s="92" t="s">
        <v>2757</v>
      </c>
      <c r="B1053" s="87" t="s">
        <v>184</v>
      </c>
      <c r="C1053" s="88" t="s">
        <v>2758</v>
      </c>
      <c r="D1053" s="88" t="s">
        <v>51</v>
      </c>
      <c r="E1053" s="88">
        <v>130.0</v>
      </c>
      <c r="F1053" s="89">
        <v>1428.7</v>
      </c>
      <c r="G1053" s="90" t="s">
        <v>53</v>
      </c>
      <c r="H1053" s="91">
        <v>46174.0</v>
      </c>
      <c r="I1053" s="92" t="s">
        <v>17</v>
      </c>
      <c r="J1053" s="92" t="s">
        <v>54</v>
      </c>
      <c r="K1053" s="92" t="s">
        <v>66</v>
      </c>
      <c r="L1053" s="92" t="s">
        <v>67</v>
      </c>
      <c r="M1053" s="90" t="s">
        <v>57</v>
      </c>
      <c r="N1053" s="92" t="s">
        <v>20</v>
      </c>
      <c r="O1053" s="87" t="s">
        <v>69</v>
      </c>
      <c r="P1053" s="87"/>
      <c r="Q1053" s="87" t="s">
        <v>715</v>
      </c>
      <c r="R1053" s="93" t="s">
        <v>269</v>
      </c>
      <c r="S1053" s="87"/>
      <c r="T1053" s="87"/>
      <c r="U1053" s="94" t="str">
        <f t="array" ref="U1053">IFERROR(INDEX(DFD!$D$2:$D$1048791,MATCH($Q1053,DFD!$B$2:$B$1048791,0)),"")</f>
        <v/>
      </c>
      <c r="V1053" s="94" t="str">
        <f t="array" ref="V1053">IFERROR(INDEX(DFD!$F$2:$F$1048791,MATCH($Q1053,DFD!$B$2:$B$1048791,0)),"")</f>
        <v/>
      </c>
      <c r="W1053" s="97" t="str">
        <f t="array" ref="W1053">IFERROR(INDEX(DFD!$E$2:$E$1048791,MATCH($Q1053,DFD!$B$2:$B$1048791,0)),"")</f>
        <v/>
      </c>
      <c r="X1053" s="97" t="str">
        <f t="array" ref="X1053">IFERROR(INDEX(DFD!$K$2:$K$1048791,MATCH($Q1053,DFD!$B$2:$B$1048791,0)),"")</f>
        <v/>
      </c>
      <c r="Y1053" s="97" t="str">
        <f t="array" ref="Y1053">IFERROR(INDEX(DFD!$L$2:$L$1048790,MATCH($Q1053,DFD!$B$2:$B$1048790,0)),"")</f>
        <v/>
      </c>
      <c r="Z1053" s="97">
        <f t="shared" si="21"/>
        <v>45</v>
      </c>
      <c r="AA1053" s="87"/>
      <c r="AB1053" s="87" t="s">
        <v>78</v>
      </c>
      <c r="AC1053" s="87"/>
      <c r="AD1053" s="99">
        <v>46043.0</v>
      </c>
      <c r="AE1053" s="100">
        <f t="shared" si="19"/>
        <v>1</v>
      </c>
    </row>
    <row r="1054" ht="15.75" customHeight="1">
      <c r="A1054" s="67" t="s">
        <v>2759</v>
      </c>
      <c r="B1054" s="59" t="s">
        <v>184</v>
      </c>
      <c r="C1054" s="60" t="s">
        <v>2760</v>
      </c>
      <c r="D1054" s="60" t="s">
        <v>51</v>
      </c>
      <c r="E1054" s="60">
        <v>130.0</v>
      </c>
      <c r="F1054" s="72">
        <v>1428.7</v>
      </c>
      <c r="G1054" s="73" t="s">
        <v>53</v>
      </c>
      <c r="H1054" s="74">
        <v>46174.0</v>
      </c>
      <c r="I1054" s="67" t="s">
        <v>17</v>
      </c>
      <c r="J1054" s="67" t="s">
        <v>54</v>
      </c>
      <c r="K1054" s="67" t="s">
        <v>66</v>
      </c>
      <c r="L1054" s="67" t="s">
        <v>67</v>
      </c>
      <c r="M1054" s="73" t="s">
        <v>57</v>
      </c>
      <c r="N1054" s="67" t="s">
        <v>20</v>
      </c>
      <c r="O1054" s="59" t="s">
        <v>69</v>
      </c>
      <c r="P1054" s="59"/>
      <c r="Q1054" s="59" t="s">
        <v>715</v>
      </c>
      <c r="R1054" s="76" t="s">
        <v>269</v>
      </c>
      <c r="S1054" s="59"/>
      <c r="T1054" s="59"/>
      <c r="U1054" s="77" t="str">
        <f t="array" ref="U1054">IFERROR(INDEX(DFD!$D$2:$D$1048791,MATCH($Q1054,DFD!$B$2:$B$1048791,0)),"")</f>
        <v/>
      </c>
      <c r="V1054" s="77" t="str">
        <f t="array" ref="V1054">IFERROR(INDEX(DFD!$F$2:$F$1048791,MATCH($Q1054,DFD!$B$2:$B$1048791,0)),"")</f>
        <v/>
      </c>
      <c r="W1054" s="84" t="str">
        <f t="array" ref="W1054">IFERROR(INDEX(DFD!$E$2:$E$1048791,MATCH($Q1054,DFD!$B$2:$B$1048791,0)),"")</f>
        <v/>
      </c>
      <c r="X1054" s="84" t="str">
        <f t="array" ref="X1054">IFERROR(INDEX(DFD!$K$2:$K$1048791,MATCH($Q1054,DFD!$B$2:$B$1048791,0)),"")</f>
        <v/>
      </c>
      <c r="Y1054" s="84" t="str">
        <f t="array" ref="Y1054">IFERROR(INDEX(DFD!$L$2:$L$1048790,MATCH($Q1054,DFD!$B$2:$B$1048790,0)),"")</f>
        <v/>
      </c>
      <c r="Z1054" s="84">
        <f t="shared" si="21"/>
        <v>45</v>
      </c>
      <c r="AA1054" s="59"/>
      <c r="AB1054" s="59" t="s">
        <v>78</v>
      </c>
      <c r="AC1054" s="59"/>
      <c r="AD1054" s="85">
        <v>46043.0</v>
      </c>
      <c r="AE1054" s="86">
        <f t="shared" si="19"/>
        <v>1</v>
      </c>
    </row>
    <row r="1055" ht="15.75" customHeight="1">
      <c r="A1055" s="87" t="s">
        <v>2761</v>
      </c>
      <c r="B1055" s="87" t="s">
        <v>101</v>
      </c>
      <c r="C1055" s="88" t="s">
        <v>2762</v>
      </c>
      <c r="D1055" s="88" t="s">
        <v>51</v>
      </c>
      <c r="E1055" s="88">
        <v>35.0</v>
      </c>
      <c r="F1055" s="89">
        <v>10500.0</v>
      </c>
      <c r="G1055" s="90" t="s">
        <v>53</v>
      </c>
      <c r="H1055" s="91">
        <v>46235.0</v>
      </c>
      <c r="I1055" s="92" t="s">
        <v>17</v>
      </c>
      <c r="J1055" s="92" t="s">
        <v>54</v>
      </c>
      <c r="K1055" s="92" t="s">
        <v>66</v>
      </c>
      <c r="L1055" s="92" t="s">
        <v>67</v>
      </c>
      <c r="M1055" s="90" t="s">
        <v>167</v>
      </c>
      <c r="N1055" s="92" t="s">
        <v>5</v>
      </c>
      <c r="O1055" s="92" t="s">
        <v>89</v>
      </c>
      <c r="P1055" s="87"/>
      <c r="Q1055" s="87" t="s">
        <v>822</v>
      </c>
      <c r="R1055" s="93" t="s">
        <v>71</v>
      </c>
      <c r="S1055" s="87"/>
      <c r="T1055" s="87"/>
      <c r="U1055" s="94" t="str">
        <f t="array" ref="U1055">IFERROR(INDEX(DFD!$D$2:$D$1048791,MATCH($Q1055,DFD!$B$2:$B$1048791,0)),"")</f>
        <v/>
      </c>
      <c r="V1055" s="94" t="s">
        <v>280</v>
      </c>
      <c r="W1055" s="97" t="str">
        <f t="array" ref="W1055">IFERROR(INDEX(DFD!$E$2:$E$1048791,MATCH($Q1055,DFD!$B$2:$B$1048791,0)),"")</f>
        <v/>
      </c>
      <c r="X1055" s="97" t="str">
        <f t="array" ref="X1055">IFERROR(INDEX(DFD!$K$2:$K$1048791,MATCH($Q1055,DFD!$B$2:$B$1048791,0)),"")</f>
        <v/>
      </c>
      <c r="Y1055" s="97" t="str">
        <f t="array" ref="Y1055">IFERROR(INDEX(DFD!$L$2:$L$1048790,MATCH($Q1055,DFD!$B$2:$B$1048790,0)),"")</f>
        <v/>
      </c>
      <c r="Z1055" s="97">
        <f t="shared" si="21"/>
        <v>45</v>
      </c>
      <c r="AA1055" s="87"/>
      <c r="AB1055" s="87" t="s">
        <v>78</v>
      </c>
      <c r="AC1055" s="87"/>
      <c r="AD1055" s="99">
        <v>46043.0</v>
      </c>
      <c r="AE1055" s="100">
        <f t="shared" si="19"/>
        <v>1</v>
      </c>
    </row>
    <row r="1056" ht="15.75" customHeight="1">
      <c r="A1056" s="59" t="s">
        <v>2763</v>
      </c>
      <c r="B1056" s="71" t="s">
        <v>101</v>
      </c>
      <c r="C1056" s="60" t="s">
        <v>2764</v>
      </c>
      <c r="D1056" s="60" t="s">
        <v>51</v>
      </c>
      <c r="E1056" s="60">
        <v>35.0</v>
      </c>
      <c r="F1056" s="72">
        <v>24500.0</v>
      </c>
      <c r="G1056" s="73" t="s">
        <v>53</v>
      </c>
      <c r="H1056" s="74">
        <v>46235.0</v>
      </c>
      <c r="I1056" s="67" t="s">
        <v>17</v>
      </c>
      <c r="J1056" s="67" t="s">
        <v>54</v>
      </c>
      <c r="K1056" s="67" t="s">
        <v>66</v>
      </c>
      <c r="L1056" s="67" t="s">
        <v>67</v>
      </c>
      <c r="M1056" s="73" t="s">
        <v>167</v>
      </c>
      <c r="N1056" s="67" t="s">
        <v>5</v>
      </c>
      <c r="O1056" s="59" t="s">
        <v>69</v>
      </c>
      <c r="P1056" s="59"/>
      <c r="Q1056" s="59" t="s">
        <v>822</v>
      </c>
      <c r="R1056" s="76" t="s">
        <v>71</v>
      </c>
      <c r="S1056" s="59"/>
      <c r="T1056" s="59"/>
      <c r="U1056" s="77" t="str">
        <f t="array" ref="U1056">IFERROR(INDEX(DFD!$D$2:$D$1048791,MATCH($Q1056,DFD!$B$2:$B$1048791,0)),"")</f>
        <v/>
      </c>
      <c r="V1056" s="77" t="s">
        <v>280</v>
      </c>
      <c r="W1056" s="84" t="str">
        <f t="array" ref="W1056">IFERROR(INDEX(DFD!$E$2:$E$1048791,MATCH($Q1056,DFD!$B$2:$B$1048791,0)),"")</f>
        <v/>
      </c>
      <c r="X1056" s="84" t="str">
        <f t="array" ref="X1056">IFERROR(INDEX(DFD!$K$2:$K$1048791,MATCH($Q1056,DFD!$B$2:$B$1048791,0)),"")</f>
        <v/>
      </c>
      <c r="Y1056" s="84" t="str">
        <f t="array" ref="Y1056">IFERROR(INDEX(DFD!$L$2:$L$1048790,MATCH($Q1056,DFD!$B$2:$B$1048790,0)),"")</f>
        <v/>
      </c>
      <c r="Z1056" s="84">
        <f t="shared" si="21"/>
        <v>45</v>
      </c>
      <c r="AA1056" s="59"/>
      <c r="AB1056" s="59" t="s">
        <v>78</v>
      </c>
      <c r="AC1056" s="59"/>
      <c r="AD1056" s="85">
        <v>46043.0</v>
      </c>
      <c r="AE1056" s="86">
        <f t="shared" si="19"/>
        <v>1</v>
      </c>
    </row>
    <row r="1057" ht="15.75" customHeight="1">
      <c r="A1057" s="87" t="s">
        <v>2765</v>
      </c>
      <c r="B1057" s="87" t="s">
        <v>92</v>
      </c>
      <c r="C1057" s="88" t="s">
        <v>2766</v>
      </c>
      <c r="D1057" s="88" t="s">
        <v>51</v>
      </c>
      <c r="E1057" s="88">
        <v>2.0</v>
      </c>
      <c r="F1057" s="89">
        <v>4000.0</v>
      </c>
      <c r="G1057" s="90" t="s">
        <v>53</v>
      </c>
      <c r="H1057" s="91">
        <v>46204.0</v>
      </c>
      <c r="I1057" s="92" t="s">
        <v>17</v>
      </c>
      <c r="J1057" s="92" t="s">
        <v>54</v>
      </c>
      <c r="K1057" s="92" t="s">
        <v>66</v>
      </c>
      <c r="L1057" s="92" t="s">
        <v>56</v>
      </c>
      <c r="M1057" s="90" t="s">
        <v>117</v>
      </c>
      <c r="N1057" s="92" t="s">
        <v>5</v>
      </c>
      <c r="O1057" s="87" t="s">
        <v>69</v>
      </c>
      <c r="P1057" s="87"/>
      <c r="Q1057" s="87" t="s">
        <v>326</v>
      </c>
      <c r="R1057" s="93" t="s">
        <v>71</v>
      </c>
      <c r="S1057" s="87"/>
      <c r="T1057" s="87"/>
      <c r="U1057" s="94" t="str">
        <f t="array" ref="U1057">IFERROR(INDEX(DFD!$D$2:$D$1048791,MATCH($Q1057,DFD!$B$2:$B$1048791,0)),"")</f>
        <v/>
      </c>
      <c r="V1057" s="94" t="s">
        <v>280</v>
      </c>
      <c r="W1057" s="97" t="str">
        <f t="array" ref="W1057">IFERROR(INDEX(DFD!$E$2:$E$1048791,MATCH($Q1057,DFD!$B$2:$B$1048791,0)),"")</f>
        <v/>
      </c>
      <c r="X1057" s="97" t="str">
        <f t="array" ref="X1057">IFERROR(INDEX(DFD!$K$2:$K$1048791,MATCH($Q1057,DFD!$B$2:$B$1048791,0)),"")</f>
        <v/>
      </c>
      <c r="Y1057" s="97" t="str">
        <f t="array" ref="Y1057">IFERROR(INDEX(DFD!$L$2:$L$1048790,MATCH($Q1057,DFD!$B$2:$B$1048790,0)),"")</f>
        <v/>
      </c>
      <c r="Z1057" s="97">
        <f t="shared" si="21"/>
        <v>45</v>
      </c>
      <c r="AA1057" s="87"/>
      <c r="AB1057" s="87" t="s">
        <v>78</v>
      </c>
      <c r="AC1057" s="87"/>
      <c r="AD1057" s="99">
        <v>46043.0</v>
      </c>
      <c r="AE1057" s="100">
        <f t="shared" si="19"/>
        <v>1</v>
      </c>
    </row>
    <row r="1058" ht="15.75" customHeight="1">
      <c r="A1058" s="67" t="s">
        <v>2767</v>
      </c>
      <c r="B1058" s="59" t="s">
        <v>64</v>
      </c>
      <c r="C1058" s="60" t="s">
        <v>2768</v>
      </c>
      <c r="D1058" s="60" t="s">
        <v>51</v>
      </c>
      <c r="E1058" s="60">
        <v>3.0</v>
      </c>
      <c r="F1058" s="72">
        <v>1200.0</v>
      </c>
      <c r="G1058" s="73" t="s">
        <v>53</v>
      </c>
      <c r="H1058" s="74">
        <v>46174.0</v>
      </c>
      <c r="I1058" s="67" t="s">
        <v>17</v>
      </c>
      <c r="J1058" s="67" t="s">
        <v>54</v>
      </c>
      <c r="K1058" s="67" t="s">
        <v>66</v>
      </c>
      <c r="L1058" s="67" t="s">
        <v>56</v>
      </c>
      <c r="M1058" s="73" t="s">
        <v>68</v>
      </c>
      <c r="N1058" s="67" t="s">
        <v>20</v>
      </c>
      <c r="O1058" s="67" t="s">
        <v>89</v>
      </c>
      <c r="P1058" s="59"/>
      <c r="Q1058" s="59" t="s">
        <v>326</v>
      </c>
      <c r="R1058" s="76" t="s">
        <v>71</v>
      </c>
      <c r="S1058" s="59"/>
      <c r="T1058" s="59"/>
      <c r="U1058" s="77" t="str">
        <f t="array" ref="U1058">IFERROR(INDEX(DFD!$D$2:$D$1048791,MATCH($Q1058,DFD!$B$2:$B$1048791,0)),"")</f>
        <v/>
      </c>
      <c r="V1058" s="77" t="s">
        <v>280</v>
      </c>
      <c r="W1058" s="84" t="str">
        <f t="array" ref="W1058">IFERROR(INDEX(DFD!$E$2:$E$1048791,MATCH($Q1058,DFD!$B$2:$B$1048791,0)),"")</f>
        <v/>
      </c>
      <c r="X1058" s="84" t="str">
        <f t="array" ref="X1058">IFERROR(INDEX(DFD!$K$2:$K$1048791,MATCH($Q1058,DFD!$B$2:$B$1048791,0)),"")</f>
        <v/>
      </c>
      <c r="Y1058" s="84" t="str">
        <f t="array" ref="Y1058">IFERROR(INDEX(DFD!$L$2:$L$1048790,MATCH($Q1058,DFD!$B$2:$B$1048790,0)),"")</f>
        <v/>
      </c>
      <c r="Z1058" s="84">
        <f t="shared" si="21"/>
        <v>45</v>
      </c>
      <c r="AA1058" s="59"/>
      <c r="AB1058" s="59" t="s">
        <v>78</v>
      </c>
      <c r="AC1058" s="59"/>
      <c r="AD1058" s="85">
        <v>46043.0</v>
      </c>
      <c r="AE1058" s="86">
        <f t="shared" si="19"/>
        <v>1</v>
      </c>
    </row>
    <row r="1059" ht="15.75" customHeight="1">
      <c r="A1059" s="87" t="s">
        <v>2769</v>
      </c>
      <c r="B1059" s="87" t="s">
        <v>101</v>
      </c>
      <c r="C1059" s="88" t="s">
        <v>2770</v>
      </c>
      <c r="D1059" s="88" t="s">
        <v>51</v>
      </c>
      <c r="E1059" s="88">
        <v>2.0</v>
      </c>
      <c r="F1059" s="89">
        <v>160.0</v>
      </c>
      <c r="G1059" s="90" t="s">
        <v>53</v>
      </c>
      <c r="H1059" s="91">
        <v>46143.0</v>
      </c>
      <c r="I1059" s="92" t="s">
        <v>17</v>
      </c>
      <c r="J1059" s="92" t="s">
        <v>54</v>
      </c>
      <c r="K1059" s="92" t="s">
        <v>66</v>
      </c>
      <c r="L1059" s="92" t="s">
        <v>56</v>
      </c>
      <c r="M1059" s="90" t="s">
        <v>132</v>
      </c>
      <c r="N1059" s="92" t="s">
        <v>58</v>
      </c>
      <c r="O1059" s="87" t="s">
        <v>69</v>
      </c>
      <c r="P1059" s="87"/>
      <c r="Q1059" s="87" t="s">
        <v>118</v>
      </c>
      <c r="R1059" s="93" t="s">
        <v>71</v>
      </c>
      <c r="S1059" s="87"/>
      <c r="T1059" s="87"/>
      <c r="U1059" s="94" t="str">
        <f t="array" ref="U1059">IFERROR(INDEX(DFD!$D$2:$D$1048791,MATCH($Q1059,DFD!$B$2:$B$1048791,0)),"")</f>
        <v/>
      </c>
      <c r="V1059" s="94" t="str">
        <f t="array" ref="V1059">IFERROR(INDEX(DFD!$F$2:$F$1048791,MATCH($Q1059,DFD!$B$2:$B$1048791,0)),"")</f>
        <v/>
      </c>
      <c r="W1059" s="97" t="str">
        <f t="array" ref="W1059">IFERROR(INDEX(DFD!$E$2:$E$1048791,MATCH($Q1059,DFD!$B$2:$B$1048791,0)),"")</f>
        <v/>
      </c>
      <c r="X1059" s="97" t="str">
        <f t="array" ref="X1059">IFERROR(INDEX(DFD!$K$2:$K$1048791,MATCH($Q1059,DFD!$B$2:$B$1048791,0)),"")</f>
        <v/>
      </c>
      <c r="Y1059" s="97" t="str">
        <f t="array" ref="Y1059">IFERROR(INDEX(DFD!$L$2:$L$1048790,MATCH($Q1059,DFD!$B$2:$B$1048790,0)),"")</f>
        <v/>
      </c>
      <c r="Z1059" s="97">
        <f t="shared" si="21"/>
        <v>45</v>
      </c>
      <c r="AA1059" s="87"/>
      <c r="AB1059" s="87" t="s">
        <v>78</v>
      </c>
      <c r="AC1059" s="87"/>
      <c r="AD1059" s="99">
        <v>46043.0</v>
      </c>
      <c r="AE1059" s="100">
        <f t="shared" si="19"/>
        <v>1</v>
      </c>
    </row>
    <row r="1060" ht="15.75" customHeight="1">
      <c r="A1060" s="59" t="s">
        <v>2771</v>
      </c>
      <c r="B1060" s="59" t="s">
        <v>355</v>
      </c>
      <c r="C1060" s="60" t="s">
        <v>2772</v>
      </c>
      <c r="D1060" s="60" t="s">
        <v>51</v>
      </c>
      <c r="E1060" s="60">
        <v>4.0</v>
      </c>
      <c r="F1060" s="72">
        <v>240.0</v>
      </c>
      <c r="G1060" s="73" t="s">
        <v>53</v>
      </c>
      <c r="H1060" s="74">
        <v>46143.0</v>
      </c>
      <c r="I1060" s="67" t="s">
        <v>17</v>
      </c>
      <c r="J1060" s="67" t="s">
        <v>54</v>
      </c>
      <c r="K1060" s="67" t="s">
        <v>66</v>
      </c>
      <c r="L1060" s="67" t="s">
        <v>56</v>
      </c>
      <c r="M1060" s="73" t="s">
        <v>132</v>
      </c>
      <c r="N1060" s="67" t="s">
        <v>58</v>
      </c>
      <c r="O1060" s="59" t="s">
        <v>69</v>
      </c>
      <c r="P1060" s="59"/>
      <c r="Q1060" s="59" t="s">
        <v>118</v>
      </c>
      <c r="R1060" s="76" t="s">
        <v>71</v>
      </c>
      <c r="S1060" s="59"/>
      <c r="T1060" s="59"/>
      <c r="U1060" s="77" t="str">
        <f t="array" ref="U1060">IFERROR(INDEX(DFD!$D$2:$D$1048791,MATCH($Q1060,DFD!$B$2:$B$1048791,0)),"")</f>
        <v/>
      </c>
      <c r="V1060" s="77" t="str">
        <f t="array" ref="V1060">IFERROR(INDEX(DFD!$F$2:$F$1048791,MATCH($Q1060,DFD!$B$2:$B$1048791,0)),"")</f>
        <v/>
      </c>
      <c r="W1060" s="84" t="str">
        <f t="array" ref="W1060">IFERROR(INDEX(DFD!$E$2:$E$1048791,MATCH($Q1060,DFD!$B$2:$B$1048791,0)),"")</f>
        <v/>
      </c>
      <c r="X1060" s="84" t="str">
        <f t="array" ref="X1060">IFERROR(INDEX(DFD!$K$2:$K$1048791,MATCH($Q1060,DFD!$B$2:$B$1048791,0)),"")</f>
        <v/>
      </c>
      <c r="Y1060" s="84" t="str">
        <f t="array" ref="Y1060">IFERROR(INDEX(DFD!$L$2:$L$1048790,MATCH($Q1060,DFD!$B$2:$B$1048790,0)),"")</f>
        <v/>
      </c>
      <c r="Z1060" s="84">
        <f t="shared" si="21"/>
        <v>45</v>
      </c>
      <c r="AA1060" s="59"/>
      <c r="AB1060" s="59" t="s">
        <v>78</v>
      </c>
      <c r="AC1060" s="59"/>
      <c r="AD1060" s="85">
        <v>46043.0</v>
      </c>
      <c r="AE1060" s="86">
        <f t="shared" si="19"/>
        <v>1</v>
      </c>
    </row>
    <row r="1061" ht="15.75" customHeight="1">
      <c r="A1061" s="92" t="s">
        <v>2773</v>
      </c>
      <c r="B1061" s="87" t="s">
        <v>101</v>
      </c>
      <c r="C1061" s="88" t="s">
        <v>2774</v>
      </c>
      <c r="D1061" s="88" t="s">
        <v>51</v>
      </c>
      <c r="E1061" s="88">
        <v>37.0</v>
      </c>
      <c r="F1061" s="89">
        <v>10286.0</v>
      </c>
      <c r="G1061" s="90" t="s">
        <v>53</v>
      </c>
      <c r="H1061" s="91">
        <v>46235.0</v>
      </c>
      <c r="I1061" s="92" t="s">
        <v>17</v>
      </c>
      <c r="J1061" s="92" t="s">
        <v>54</v>
      </c>
      <c r="K1061" s="92" t="s">
        <v>2775</v>
      </c>
      <c r="L1061" s="92" t="s">
        <v>56</v>
      </c>
      <c r="M1061" s="90" t="s">
        <v>112</v>
      </c>
      <c r="N1061" s="92" t="s">
        <v>20</v>
      </c>
      <c r="O1061" s="92" t="s">
        <v>89</v>
      </c>
      <c r="P1061" s="87"/>
      <c r="Q1061" s="87" t="s">
        <v>1619</v>
      </c>
      <c r="R1061" s="93" t="s">
        <v>2776</v>
      </c>
      <c r="S1061" s="87"/>
      <c r="T1061" s="87"/>
      <c r="U1061" s="94" t="str">
        <f t="array" ref="U1061">IFERROR(INDEX(DFD!$D$2:$D$1048791,MATCH($Q1061,DFD!$B$2:$B$1048791,0)),"")</f>
        <v/>
      </c>
      <c r="V1061" s="94" t="str">
        <f t="array" ref="V1061">IFERROR(INDEX(DFD!$F$2:$F$1048791,MATCH($Q1061,DFD!$B$2:$B$1048791,0)),"")</f>
        <v/>
      </c>
      <c r="W1061" s="97" t="str">
        <f t="array" ref="W1061">IFERROR(INDEX(DFD!$E$2:$E$1048791,MATCH($Q1061,DFD!$B$2:$B$1048791,0)),"")</f>
        <v/>
      </c>
      <c r="X1061" s="97" t="str">
        <f t="array" ref="X1061">IFERROR(INDEX(DFD!$K$2:$K$1048791,MATCH($Q1061,DFD!$B$2:$B$1048791,0)),"")</f>
        <v/>
      </c>
      <c r="Y1061" s="97" t="str">
        <f t="array" ref="Y1061">IFERROR(INDEX(DFD!$L$2:$L$1048790,MATCH($Q1061,DFD!$B$2:$B$1048790,0)),"")</f>
        <v/>
      </c>
      <c r="Z1061" s="97">
        <f t="shared" si="21"/>
        <v>45</v>
      </c>
      <c r="AA1061" s="87"/>
      <c r="AB1061" s="87" t="s">
        <v>288</v>
      </c>
      <c r="AC1061" s="87"/>
      <c r="AD1061" s="99">
        <v>46043.0</v>
      </c>
      <c r="AE1061" s="100">
        <f t="shared" si="19"/>
        <v>1</v>
      </c>
    </row>
    <row r="1062" ht="15.75" customHeight="1">
      <c r="A1062" s="67" t="s">
        <v>2777</v>
      </c>
      <c r="B1062" s="59" t="s">
        <v>101</v>
      </c>
      <c r="C1062" s="60" t="s">
        <v>2778</v>
      </c>
      <c r="D1062" s="60" t="s">
        <v>51</v>
      </c>
      <c r="E1062" s="60">
        <v>30.0</v>
      </c>
      <c r="F1062" s="72">
        <v>11460.0</v>
      </c>
      <c r="G1062" s="73" t="s">
        <v>53</v>
      </c>
      <c r="H1062" s="74">
        <v>46235.0</v>
      </c>
      <c r="I1062" s="67" t="s">
        <v>17</v>
      </c>
      <c r="J1062" s="67" t="s">
        <v>54</v>
      </c>
      <c r="K1062" s="67" t="s">
        <v>2775</v>
      </c>
      <c r="L1062" s="67" t="s">
        <v>56</v>
      </c>
      <c r="M1062" s="73" t="s">
        <v>167</v>
      </c>
      <c r="N1062" s="67" t="s">
        <v>20</v>
      </c>
      <c r="O1062" s="59" t="s">
        <v>69</v>
      </c>
      <c r="P1062" s="59"/>
      <c r="Q1062" s="59" t="s">
        <v>1619</v>
      </c>
      <c r="R1062" s="76" t="s">
        <v>2776</v>
      </c>
      <c r="S1062" s="59"/>
      <c r="T1062" s="59"/>
      <c r="U1062" s="77" t="str">
        <f t="array" ref="U1062">IFERROR(INDEX(DFD!$D$2:$D$1048791,MATCH($Q1062,DFD!$B$2:$B$1048791,0)),"")</f>
        <v/>
      </c>
      <c r="V1062" s="77" t="str">
        <f t="array" ref="V1062">IFERROR(INDEX(DFD!$F$2:$F$1048791,MATCH($Q1062,DFD!$B$2:$B$1048791,0)),"")</f>
        <v/>
      </c>
      <c r="W1062" s="84" t="str">
        <f t="array" ref="W1062">IFERROR(INDEX(DFD!$E$2:$E$1048791,MATCH($Q1062,DFD!$B$2:$B$1048791,0)),"")</f>
        <v/>
      </c>
      <c r="X1062" s="84" t="str">
        <f t="array" ref="X1062">IFERROR(INDEX(DFD!$K$2:$K$1048791,MATCH($Q1062,DFD!$B$2:$B$1048791,0)),"")</f>
        <v/>
      </c>
      <c r="Y1062" s="84" t="str">
        <f t="array" ref="Y1062">IFERROR(INDEX(DFD!$L$2:$L$1048790,MATCH($Q1062,DFD!$B$2:$B$1048790,0)),"")</f>
        <v/>
      </c>
      <c r="Z1062" s="84">
        <f t="shared" si="21"/>
        <v>45</v>
      </c>
      <c r="AA1062" s="59"/>
      <c r="AB1062" s="59" t="s">
        <v>288</v>
      </c>
      <c r="AC1062" s="59"/>
      <c r="AD1062" s="85">
        <v>46043.0</v>
      </c>
      <c r="AE1062" s="86">
        <f t="shared" si="19"/>
        <v>1</v>
      </c>
    </row>
    <row r="1063" ht="15.75" customHeight="1">
      <c r="A1063" s="87" t="s">
        <v>2779</v>
      </c>
      <c r="B1063" s="87" t="s">
        <v>148</v>
      </c>
      <c r="C1063" s="88" t="s">
        <v>2780</v>
      </c>
      <c r="D1063" s="88" t="s">
        <v>2781</v>
      </c>
      <c r="E1063" s="88">
        <v>1.0</v>
      </c>
      <c r="F1063" s="89">
        <v>50.0</v>
      </c>
      <c r="G1063" s="90" t="s">
        <v>53</v>
      </c>
      <c r="H1063" s="91">
        <v>46143.0</v>
      </c>
      <c r="I1063" s="92" t="s">
        <v>17</v>
      </c>
      <c r="J1063" s="92" t="s">
        <v>54</v>
      </c>
      <c r="K1063" s="92" t="s">
        <v>66</v>
      </c>
      <c r="L1063" s="92" t="s">
        <v>67</v>
      </c>
      <c r="M1063" s="90" t="s">
        <v>68</v>
      </c>
      <c r="N1063" s="92" t="s">
        <v>5</v>
      </c>
      <c r="O1063" s="87" t="s">
        <v>69</v>
      </c>
      <c r="P1063" s="87"/>
      <c r="Q1063" s="87" t="s">
        <v>800</v>
      </c>
      <c r="R1063" s="93" t="s">
        <v>287</v>
      </c>
      <c r="S1063" s="87"/>
      <c r="T1063" s="87"/>
      <c r="U1063" s="94" t="str">
        <f t="array" ref="U1063">IFERROR(INDEX(DFD!$D$2:$D$1048791,MATCH($Q1063,DFD!$B$2:$B$1048791,0)),"")</f>
        <v/>
      </c>
      <c r="V1063" s="94" t="str">
        <f t="array" ref="V1063">IFERROR(INDEX(DFD!$F$2:$F$1048791,MATCH($Q1063,DFD!$B$2:$B$1048791,0)),"")</f>
        <v/>
      </c>
      <c r="W1063" s="97" t="str">
        <f t="array" ref="W1063">IFERROR(INDEX(DFD!$E$2:$E$1048791,MATCH($Q1063,DFD!$B$2:$B$1048791,0)),"")</f>
        <v/>
      </c>
      <c r="X1063" s="97" t="str">
        <f t="array" ref="X1063">IFERROR(INDEX(DFD!$K$2:$K$1048791,MATCH($Q1063,DFD!$B$2:$B$1048791,0)),"")</f>
        <v/>
      </c>
      <c r="Y1063" s="97" t="str">
        <f t="array" ref="Y1063">IFERROR(INDEX(DFD!$L$2:$L$1048790,MATCH($Q1063,DFD!$B$2:$B$1048790,0)),"")</f>
        <v/>
      </c>
      <c r="Z1063" s="97">
        <f t="shared" si="21"/>
        <v>45</v>
      </c>
      <c r="AA1063" s="87"/>
      <c r="AB1063" s="87" t="s">
        <v>78</v>
      </c>
      <c r="AC1063" s="87"/>
      <c r="AD1063" s="99">
        <v>46043.0</v>
      </c>
      <c r="AE1063" s="100">
        <f t="shared" si="19"/>
        <v>1</v>
      </c>
    </row>
    <row r="1064" ht="15.75" customHeight="1">
      <c r="A1064" s="59" t="s">
        <v>2782</v>
      </c>
      <c r="B1064" s="59" t="s">
        <v>400</v>
      </c>
      <c r="C1064" s="60" t="s">
        <v>2783</v>
      </c>
      <c r="D1064" s="60" t="s">
        <v>51</v>
      </c>
      <c r="E1064" s="60">
        <v>20.0</v>
      </c>
      <c r="F1064" s="72">
        <v>2400.0</v>
      </c>
      <c r="G1064" s="73" t="s">
        <v>53</v>
      </c>
      <c r="H1064" s="74">
        <v>46174.0</v>
      </c>
      <c r="I1064" s="67" t="s">
        <v>17</v>
      </c>
      <c r="J1064" s="67" t="s">
        <v>54</v>
      </c>
      <c r="K1064" s="67" t="s">
        <v>66</v>
      </c>
      <c r="L1064" s="67" t="s">
        <v>56</v>
      </c>
      <c r="M1064" s="73" t="s">
        <v>132</v>
      </c>
      <c r="N1064" s="67" t="s">
        <v>58</v>
      </c>
      <c r="O1064" s="67" t="s">
        <v>89</v>
      </c>
      <c r="P1064" s="59"/>
      <c r="Q1064" s="59" t="s">
        <v>752</v>
      </c>
      <c r="R1064" s="76" t="s">
        <v>753</v>
      </c>
      <c r="S1064" s="59"/>
      <c r="T1064" s="59"/>
      <c r="U1064" s="77" t="str">
        <f t="array" ref="U1064">IFERROR(INDEX(DFD!$D$2:$D$1048791,MATCH($Q1064,DFD!$B$2:$B$1048791,0)),"")</f>
        <v/>
      </c>
      <c r="V1064" s="77" t="str">
        <f t="array" ref="V1064">IFERROR(INDEX(DFD!$F$2:$F$1048791,MATCH($Q1064,DFD!$B$2:$B$1048791,0)),"")</f>
        <v/>
      </c>
      <c r="W1064" s="84" t="str">
        <f t="array" ref="W1064">IFERROR(INDEX(DFD!$E$2:$E$1048791,MATCH($Q1064,DFD!$B$2:$B$1048791,0)),"")</f>
        <v/>
      </c>
      <c r="X1064" s="84" t="str">
        <f t="array" ref="X1064">IFERROR(INDEX(DFD!$K$2:$K$1048791,MATCH($Q1064,DFD!$B$2:$B$1048791,0)),"")</f>
        <v/>
      </c>
      <c r="Y1064" s="84" t="str">
        <f t="array" ref="Y1064">IFERROR(INDEX(DFD!$L$2:$L$1048790,MATCH($Q1064,DFD!$B$2:$B$1048790,0)),"")</f>
        <v/>
      </c>
      <c r="Z1064" s="84">
        <f t="shared" si="21"/>
        <v>45</v>
      </c>
      <c r="AA1064" s="59"/>
      <c r="AB1064" s="59" t="s">
        <v>78</v>
      </c>
      <c r="AC1064" s="59"/>
      <c r="AD1064" s="85">
        <v>46043.0</v>
      </c>
      <c r="AE1064" s="86">
        <f t="shared" si="19"/>
        <v>1</v>
      </c>
    </row>
    <row r="1065" ht="15.75" customHeight="1">
      <c r="A1065" s="92" t="s">
        <v>2784</v>
      </c>
      <c r="B1065" s="87" t="s">
        <v>184</v>
      </c>
      <c r="C1065" s="88" t="s">
        <v>2785</v>
      </c>
      <c r="D1065" s="88" t="s">
        <v>51</v>
      </c>
      <c r="E1065" s="88">
        <v>30.0</v>
      </c>
      <c r="F1065" s="89">
        <v>5100.0</v>
      </c>
      <c r="G1065" s="90" t="s">
        <v>53</v>
      </c>
      <c r="H1065" s="91">
        <v>46174.0</v>
      </c>
      <c r="I1065" s="92" t="s">
        <v>17</v>
      </c>
      <c r="J1065" s="92" t="s">
        <v>54</v>
      </c>
      <c r="K1065" s="92" t="s">
        <v>66</v>
      </c>
      <c r="L1065" s="92" t="s">
        <v>67</v>
      </c>
      <c r="M1065" s="90" t="s">
        <v>57</v>
      </c>
      <c r="N1065" s="92" t="s">
        <v>20</v>
      </c>
      <c r="O1065" s="87" t="s">
        <v>69</v>
      </c>
      <c r="P1065" s="87"/>
      <c r="Q1065" s="87" t="s">
        <v>214</v>
      </c>
      <c r="R1065" s="93" t="s">
        <v>134</v>
      </c>
      <c r="S1065" s="87"/>
      <c r="T1065" s="87"/>
      <c r="U1065" s="94" t="str">
        <f t="array" ref="U1065">IFERROR(INDEX(DFD!$D$2:$D$1048791,MATCH($Q1065,DFD!$B$2:$B$1048791,0)),"")</f>
        <v/>
      </c>
      <c r="V1065" s="94" t="str">
        <f t="array" ref="V1065">IFERROR(INDEX(DFD!$F$2:$F$1048791,MATCH($Q1065,DFD!$B$2:$B$1048791,0)),"")</f>
        <v/>
      </c>
      <c r="W1065" s="97" t="str">
        <f t="array" ref="W1065">IFERROR(INDEX(DFD!$E$2:$E$1048791,MATCH($Q1065,DFD!$B$2:$B$1048791,0)),"")</f>
        <v/>
      </c>
      <c r="X1065" s="97" t="str">
        <f t="array" ref="X1065">IFERROR(INDEX(DFD!$K$2:$K$1048791,MATCH($Q1065,DFD!$B$2:$B$1048791,0)),"")</f>
        <v/>
      </c>
      <c r="Y1065" s="97" t="str">
        <f t="array" ref="Y1065">IFERROR(INDEX(DFD!$L$2:$L$1048790,MATCH($Q1065,DFD!$B$2:$B$1048790,0)),"")</f>
        <v/>
      </c>
      <c r="Z1065" s="97">
        <f t="shared" si="21"/>
        <v>45</v>
      </c>
      <c r="AA1065" s="87"/>
      <c r="AB1065" s="87" t="s">
        <v>78</v>
      </c>
      <c r="AC1065" s="87"/>
      <c r="AD1065" s="99">
        <v>46043.0</v>
      </c>
      <c r="AE1065" s="119">
        <f t="shared" si="19"/>
        <v>1</v>
      </c>
    </row>
    <row r="1066" ht="15.75" customHeight="1">
      <c r="A1066" s="59" t="s">
        <v>2786</v>
      </c>
      <c r="B1066" s="59" t="s">
        <v>464</v>
      </c>
      <c r="C1066" s="81" t="s">
        <v>2787</v>
      </c>
      <c r="D1066" s="60" t="s">
        <v>51</v>
      </c>
      <c r="E1066" s="60">
        <v>1.0</v>
      </c>
      <c r="F1066" s="72">
        <v>90000.0</v>
      </c>
      <c r="G1066" s="73" t="s">
        <v>437</v>
      </c>
      <c r="H1066" s="74">
        <v>46266.0</v>
      </c>
      <c r="I1066" s="67" t="s">
        <v>17</v>
      </c>
      <c r="J1066" s="67" t="s">
        <v>54</v>
      </c>
      <c r="K1066" s="67" t="s">
        <v>161</v>
      </c>
      <c r="L1066" s="67" t="s">
        <v>67</v>
      </c>
      <c r="M1066" s="73" t="s">
        <v>2788</v>
      </c>
      <c r="N1066" s="67" t="s">
        <v>5</v>
      </c>
      <c r="O1066" s="59" t="s">
        <v>69</v>
      </c>
      <c r="P1066" s="59"/>
      <c r="Q1066" s="59" t="s">
        <v>467</v>
      </c>
      <c r="R1066" s="76" t="s">
        <v>2789</v>
      </c>
      <c r="S1066" s="59"/>
      <c r="T1066" s="59"/>
      <c r="U1066" s="77" t="str">
        <f t="array" ref="U1066">IFERROR(INDEX(DFD!$D$2:$D$1048791,MATCH($Q1066,DFD!$B$2:$B$1048791,0)),"")</f>
        <v/>
      </c>
      <c r="V1066" s="77" t="str">
        <f t="array" ref="V1066">IFERROR(INDEX(DFD!$F$2:$F$1048791,MATCH($Q1066,DFD!$B$2:$B$1048791,0)),"")</f>
        <v/>
      </c>
      <c r="W1066" s="84" t="str">
        <f t="array" ref="W1066">IFERROR(INDEX(DFD!$E$2:$E$1048791,MATCH($Q1066,DFD!$B$2:$B$1048791,0)),"")</f>
        <v/>
      </c>
      <c r="X1066" s="84" t="str">
        <f t="array" ref="X1066">IFERROR(INDEX(DFD!$K$2:$K$1048791,MATCH($Q1066,DFD!$B$2:$B$1048791,0)),"")</f>
        <v/>
      </c>
      <c r="Y1066" s="84" t="str">
        <f t="array" ref="Y1066">IFERROR(INDEX(DFD!$L$2:$L$1048790,MATCH($Q1066,DFD!$B$2:$B$1048790,0)),"")</f>
        <v/>
      </c>
      <c r="Z1066" s="84">
        <f t="shared" si="21"/>
        <v>45</v>
      </c>
      <c r="AA1066" s="59"/>
      <c r="AB1066" s="59" t="s">
        <v>288</v>
      </c>
      <c r="AC1066" s="59"/>
      <c r="AD1066" s="85">
        <v>46043.0</v>
      </c>
      <c r="AE1066" s="86">
        <f t="shared" si="19"/>
        <v>1</v>
      </c>
    </row>
    <row r="1067" ht="15.75" customHeight="1">
      <c r="A1067" s="87" t="s">
        <v>2790</v>
      </c>
      <c r="B1067" s="87" t="s">
        <v>464</v>
      </c>
      <c r="C1067" s="116" t="s">
        <v>2791</v>
      </c>
      <c r="D1067" s="88" t="s">
        <v>51</v>
      </c>
      <c r="E1067" s="88">
        <v>1.0</v>
      </c>
      <c r="F1067" s="89">
        <v>120000.0</v>
      </c>
      <c r="G1067" s="90" t="s">
        <v>437</v>
      </c>
      <c r="H1067" s="91">
        <v>46266.0</v>
      </c>
      <c r="I1067" s="92" t="s">
        <v>17</v>
      </c>
      <c r="J1067" s="92" t="s">
        <v>54</v>
      </c>
      <c r="K1067" s="92" t="s">
        <v>2792</v>
      </c>
      <c r="L1067" s="92" t="s">
        <v>67</v>
      </c>
      <c r="M1067" s="90" t="s">
        <v>2793</v>
      </c>
      <c r="N1067" s="92" t="s">
        <v>5</v>
      </c>
      <c r="O1067" s="92" t="s">
        <v>89</v>
      </c>
      <c r="P1067" s="87"/>
      <c r="Q1067" s="87" t="s">
        <v>467</v>
      </c>
      <c r="R1067" s="93" t="s">
        <v>2789</v>
      </c>
      <c r="S1067" s="87"/>
      <c r="T1067" s="87"/>
      <c r="U1067" s="94" t="str">
        <f t="array" ref="U1067">IFERROR(INDEX(DFD!$D$2:$D$1048791,MATCH($Q1067,DFD!$B$2:$B$1048791,0)),"")</f>
        <v/>
      </c>
      <c r="V1067" s="94" t="str">
        <f t="array" ref="V1067">IFERROR(INDEX(DFD!$F$2:$F$1048791,MATCH($Q1067,DFD!$B$2:$B$1048791,0)),"")</f>
        <v/>
      </c>
      <c r="W1067" s="97" t="str">
        <f t="array" ref="W1067">IFERROR(INDEX(DFD!$E$2:$E$1048791,MATCH($Q1067,DFD!$B$2:$B$1048791,0)),"")</f>
        <v/>
      </c>
      <c r="X1067" s="97" t="str">
        <f t="array" ref="X1067">IFERROR(INDEX(DFD!$K$2:$K$1048791,MATCH($Q1067,DFD!$B$2:$B$1048791,0)),"")</f>
        <v/>
      </c>
      <c r="Y1067" s="97" t="str">
        <f t="array" ref="Y1067">IFERROR(INDEX(DFD!$L$2:$L$1048790,MATCH($Q1067,DFD!$B$2:$B$1048790,0)),"")</f>
        <v/>
      </c>
      <c r="Z1067" s="97">
        <f t="shared" si="21"/>
        <v>45</v>
      </c>
      <c r="AA1067" s="87"/>
      <c r="AB1067" s="87" t="s">
        <v>288</v>
      </c>
      <c r="AC1067" s="87"/>
      <c r="AD1067" s="99">
        <v>46043.0</v>
      </c>
      <c r="AE1067" s="100">
        <f t="shared" si="19"/>
        <v>1</v>
      </c>
    </row>
    <row r="1068" ht="15.75" customHeight="1">
      <c r="A1068" s="59" t="s">
        <v>2794</v>
      </c>
      <c r="B1068" s="59" t="s">
        <v>52</v>
      </c>
      <c r="C1068" s="60" t="s">
        <v>2795</v>
      </c>
      <c r="D1068" s="60" t="s">
        <v>51</v>
      </c>
      <c r="E1068" s="60">
        <v>25000.0</v>
      </c>
      <c r="F1068" s="72">
        <v>600000.0</v>
      </c>
      <c r="G1068" s="73" t="s">
        <v>437</v>
      </c>
      <c r="H1068" s="74">
        <v>46266.0</v>
      </c>
      <c r="I1068" s="67" t="s">
        <v>17</v>
      </c>
      <c r="J1068" s="67" t="s">
        <v>54</v>
      </c>
      <c r="K1068" s="67" t="s">
        <v>721</v>
      </c>
      <c r="L1068" s="67" t="s">
        <v>56</v>
      </c>
      <c r="M1068" s="73" t="s">
        <v>68</v>
      </c>
      <c r="N1068" s="67" t="s">
        <v>58</v>
      </c>
      <c r="O1068" s="59" t="s">
        <v>69</v>
      </c>
      <c r="P1068" s="59"/>
      <c r="Q1068" s="59" t="s">
        <v>52</v>
      </c>
      <c r="R1068" s="76" t="s">
        <v>1070</v>
      </c>
      <c r="S1068" s="59"/>
      <c r="T1068" s="59"/>
      <c r="U1068" s="77" t="str">
        <f t="array" ref="U1068">IFERROR(INDEX(DFD!$D$2:$D$1048791,MATCH($Q1068,DFD!$B$2:$B$1048791,0)),"")</f>
        <v/>
      </c>
      <c r="V1068" s="77" t="str">
        <f t="array" ref="V1068">IFERROR(INDEX(DFD!$F$2:$F$1048791,MATCH($Q1068,DFD!$B$2:$B$1048791,0)),"")</f>
        <v/>
      </c>
      <c r="W1068" s="84" t="str">
        <f t="array" ref="W1068">IFERROR(INDEX(DFD!$E$2:$E$1048791,MATCH($Q1068,DFD!$B$2:$B$1048791,0)),"")</f>
        <v/>
      </c>
      <c r="X1068" s="84" t="str">
        <f t="array" ref="X1068">IFERROR(INDEX(DFD!$K$2:$K$1048791,MATCH($Q1068,DFD!$B$2:$B$1048791,0)),"")</f>
        <v/>
      </c>
      <c r="Y1068" s="84" t="str">
        <f t="array" ref="Y1068">IFERROR(INDEX(DFD!$L$2:$L$1048790,MATCH($Q1068,DFD!$B$2:$B$1048790,0)),"")</f>
        <v/>
      </c>
      <c r="Z1068" s="84">
        <f t="shared" si="21"/>
        <v>45</v>
      </c>
      <c r="AA1068" s="59"/>
      <c r="AB1068" s="59" t="s">
        <v>72</v>
      </c>
      <c r="AC1068" s="59"/>
      <c r="AD1068" s="85">
        <v>46043.0</v>
      </c>
      <c r="AE1068" s="86">
        <f t="shared" si="19"/>
        <v>1</v>
      </c>
    </row>
    <row r="1069" ht="15.75" customHeight="1">
      <c r="A1069" s="92" t="s">
        <v>2796</v>
      </c>
      <c r="B1069" s="87" t="s">
        <v>101</v>
      </c>
      <c r="C1069" s="88" t="s">
        <v>2797</v>
      </c>
      <c r="D1069" s="88" t="s">
        <v>51</v>
      </c>
      <c r="E1069" s="88">
        <v>1.0</v>
      </c>
      <c r="F1069" s="89">
        <v>23418.0</v>
      </c>
      <c r="G1069" s="90" t="s">
        <v>53</v>
      </c>
      <c r="H1069" s="91">
        <v>46031.0</v>
      </c>
      <c r="I1069" s="92" t="s">
        <v>18</v>
      </c>
      <c r="J1069" s="92" t="s">
        <v>54</v>
      </c>
      <c r="K1069" s="92" t="s">
        <v>83</v>
      </c>
      <c r="L1069" s="92" t="s">
        <v>67</v>
      </c>
      <c r="M1069" s="90" t="s">
        <v>117</v>
      </c>
      <c r="N1069" s="92" t="s">
        <v>20</v>
      </c>
      <c r="O1069" s="87" t="s">
        <v>69</v>
      </c>
      <c r="P1069" s="87"/>
      <c r="Q1069" s="87" t="s">
        <v>1852</v>
      </c>
      <c r="R1069" s="93" t="s">
        <v>2798</v>
      </c>
      <c r="S1069" s="87"/>
      <c r="T1069" s="87"/>
      <c r="U1069" s="94" t="str">
        <f t="array" ref="U1069">IFERROR(INDEX(DFD!$D$2:$D$1048791,MATCH($Q1069,DFD!$B$2:$B$1048791,0)),"")</f>
        <v/>
      </c>
      <c r="V1069" s="94" t="str">
        <f t="array" ref="V1069">IFERROR(INDEX(DFD!$F$2:$F$1048791,MATCH($Q1069,DFD!$B$2:$B$1048791,0)),"")</f>
        <v/>
      </c>
      <c r="W1069" s="97" t="str">
        <f t="array" ref="W1069">IFERROR(INDEX(DFD!$E$2:$E$1048791,MATCH($Q1069,DFD!$B$2:$B$1048791,0)),"")</f>
        <v/>
      </c>
      <c r="X1069" s="97" t="str">
        <f t="array" ref="X1069">IFERROR(INDEX(DFD!$K$2:$K$1048791,MATCH($Q1069,DFD!$B$2:$B$1048791,0)),"")</f>
        <v/>
      </c>
      <c r="Y1069" s="97" t="str">
        <f t="array" ref="Y1069">IFERROR(INDEX(DFD!$L$2:$L$1048790,MATCH($Q1069,DFD!$B$2:$B$1048790,0)),"")</f>
        <v/>
      </c>
      <c r="Z1069" s="97">
        <f t="shared" si="21"/>
        <v>45</v>
      </c>
      <c r="AA1069" s="87"/>
      <c r="AB1069" s="87" t="s">
        <v>78</v>
      </c>
      <c r="AC1069" s="87"/>
      <c r="AD1069" s="99">
        <v>46043.0</v>
      </c>
      <c r="AE1069" s="100">
        <f t="shared" si="19"/>
        <v>1</v>
      </c>
    </row>
    <row r="1070" ht="15.75" customHeight="1">
      <c r="A1070" s="67" t="s">
        <v>2799</v>
      </c>
      <c r="B1070" s="59" t="s">
        <v>184</v>
      </c>
      <c r="C1070" s="60" t="s">
        <v>2800</v>
      </c>
      <c r="D1070" s="60" t="s">
        <v>51</v>
      </c>
      <c r="E1070" s="60">
        <v>50.0</v>
      </c>
      <c r="F1070" s="72">
        <v>1000.0</v>
      </c>
      <c r="G1070" s="73" t="s">
        <v>53</v>
      </c>
      <c r="H1070" s="74">
        <v>46174.0</v>
      </c>
      <c r="I1070" s="67" t="s">
        <v>17</v>
      </c>
      <c r="J1070" s="67" t="s">
        <v>54</v>
      </c>
      <c r="K1070" s="67" t="s">
        <v>66</v>
      </c>
      <c r="L1070" s="67" t="s">
        <v>67</v>
      </c>
      <c r="M1070" s="73" t="s">
        <v>117</v>
      </c>
      <c r="N1070" s="67" t="s">
        <v>20</v>
      </c>
      <c r="O1070" s="67" t="s">
        <v>89</v>
      </c>
      <c r="P1070" s="59"/>
      <c r="Q1070" s="59" t="s">
        <v>1569</v>
      </c>
      <c r="R1070" s="76" t="s">
        <v>269</v>
      </c>
      <c r="S1070" s="59"/>
      <c r="T1070" s="59"/>
      <c r="U1070" s="77" t="str">
        <f t="array" ref="U1070">IFERROR(INDEX(DFD!$D$2:$D$1048791,MATCH($Q1070,DFD!$B$2:$B$1048791,0)),"")</f>
        <v/>
      </c>
      <c r="V1070" s="77" t="str">
        <f t="array" ref="V1070">IFERROR(INDEX(DFD!$F$2:$F$1048791,MATCH($Q1070,DFD!$B$2:$B$1048791,0)),"")</f>
        <v/>
      </c>
      <c r="W1070" s="84" t="str">
        <f t="array" ref="W1070">IFERROR(INDEX(DFD!$E$2:$E$1048791,MATCH($Q1070,DFD!$B$2:$B$1048791,0)),"")</f>
        <v/>
      </c>
      <c r="X1070" s="84" t="str">
        <f t="array" ref="X1070">IFERROR(INDEX(DFD!$K$2:$K$1048791,MATCH($Q1070,DFD!$B$2:$B$1048791,0)),"")</f>
        <v/>
      </c>
      <c r="Y1070" s="84" t="str">
        <f t="array" ref="Y1070">IFERROR(INDEX(DFD!$L$2:$L$1048790,MATCH($Q1070,DFD!$B$2:$B$1048790,0)),"")</f>
        <v/>
      </c>
      <c r="Z1070" s="84">
        <f t="shared" si="21"/>
        <v>45</v>
      </c>
      <c r="AA1070" s="59"/>
      <c r="AB1070" s="59" t="s">
        <v>78</v>
      </c>
      <c r="AC1070" s="59"/>
      <c r="AD1070" s="85">
        <v>46043.0</v>
      </c>
      <c r="AE1070" s="86">
        <f t="shared" si="19"/>
        <v>1</v>
      </c>
    </row>
    <row r="1071" ht="15.75" customHeight="1">
      <c r="A1071" s="87" t="s">
        <v>2801</v>
      </c>
      <c r="B1071" s="87" t="s">
        <v>101</v>
      </c>
      <c r="C1071" s="88" t="s">
        <v>2802</v>
      </c>
      <c r="D1071" s="88" t="s">
        <v>51</v>
      </c>
      <c r="E1071" s="88">
        <v>15.0</v>
      </c>
      <c r="F1071" s="89">
        <v>300.0</v>
      </c>
      <c r="G1071" s="90" t="s">
        <v>53</v>
      </c>
      <c r="H1071" s="91">
        <v>46174.0</v>
      </c>
      <c r="I1071" s="92" t="s">
        <v>17</v>
      </c>
      <c r="J1071" s="92" t="s">
        <v>54</v>
      </c>
      <c r="K1071" s="92" t="s">
        <v>66</v>
      </c>
      <c r="L1071" s="92" t="s">
        <v>56</v>
      </c>
      <c r="M1071" s="90" t="s">
        <v>132</v>
      </c>
      <c r="N1071" s="92" t="s">
        <v>58</v>
      </c>
      <c r="O1071" s="87" t="s">
        <v>69</v>
      </c>
      <c r="P1071" s="87"/>
      <c r="Q1071" s="87" t="s">
        <v>1569</v>
      </c>
      <c r="R1071" s="93" t="s">
        <v>269</v>
      </c>
      <c r="S1071" s="87"/>
      <c r="T1071" s="87"/>
      <c r="U1071" s="94" t="str">
        <f t="array" ref="U1071">IFERROR(INDEX(DFD!$D$2:$D$1048791,MATCH($Q1071,DFD!$B$2:$B$1048791,0)),"")</f>
        <v/>
      </c>
      <c r="V1071" s="94" t="str">
        <f t="array" ref="V1071">IFERROR(INDEX(DFD!$F$2:$F$1048791,MATCH($Q1071,DFD!$B$2:$B$1048791,0)),"")</f>
        <v/>
      </c>
      <c r="W1071" s="97" t="str">
        <f t="array" ref="W1071">IFERROR(INDEX(DFD!$E$2:$E$1048791,MATCH($Q1071,DFD!$B$2:$B$1048791,0)),"")</f>
        <v/>
      </c>
      <c r="X1071" s="97" t="str">
        <f t="array" ref="X1071">IFERROR(INDEX(DFD!$K$2:$K$1048791,MATCH($Q1071,DFD!$B$2:$B$1048791,0)),"")</f>
        <v/>
      </c>
      <c r="Y1071" s="97" t="str">
        <f t="array" ref="Y1071">IFERROR(INDEX(DFD!$L$2:$L$1048790,MATCH($Q1071,DFD!$B$2:$B$1048790,0)),"")</f>
        <v/>
      </c>
      <c r="Z1071" s="97">
        <f t="shared" si="21"/>
        <v>45</v>
      </c>
      <c r="AA1071" s="87"/>
      <c r="AB1071" s="87" t="s">
        <v>78</v>
      </c>
      <c r="AC1071" s="87"/>
      <c r="AD1071" s="99">
        <v>46043.0</v>
      </c>
      <c r="AE1071" s="100">
        <f t="shared" si="19"/>
        <v>1</v>
      </c>
    </row>
    <row r="1072" ht="15.75" customHeight="1">
      <c r="A1072" s="59" t="s">
        <v>2803</v>
      </c>
      <c r="B1072" s="59" t="s">
        <v>98</v>
      </c>
      <c r="C1072" s="60" t="s">
        <v>2804</v>
      </c>
      <c r="D1072" s="60" t="s">
        <v>51</v>
      </c>
      <c r="E1072" s="60">
        <v>5.0</v>
      </c>
      <c r="F1072" s="72">
        <v>150.0</v>
      </c>
      <c r="G1072" s="73" t="s">
        <v>53</v>
      </c>
      <c r="H1072" s="74">
        <v>46143.0</v>
      </c>
      <c r="I1072" s="67" t="s">
        <v>17</v>
      </c>
      <c r="J1072" s="67" t="s">
        <v>54</v>
      </c>
      <c r="K1072" s="67" t="s">
        <v>66</v>
      </c>
      <c r="L1072" s="67" t="s">
        <v>67</v>
      </c>
      <c r="M1072" s="73" t="s">
        <v>132</v>
      </c>
      <c r="N1072" s="67" t="s">
        <v>5</v>
      </c>
      <c r="O1072" s="59" t="s">
        <v>69</v>
      </c>
      <c r="P1072" s="59"/>
      <c r="Q1072" s="59" t="s">
        <v>1569</v>
      </c>
      <c r="R1072" s="76" t="s">
        <v>269</v>
      </c>
      <c r="S1072" s="59"/>
      <c r="T1072" s="59"/>
      <c r="U1072" s="77" t="str">
        <f t="array" ref="U1072">IFERROR(INDEX(DFD!$D$2:$D$1048791,MATCH($Q1072,DFD!$B$2:$B$1048791,0)),"")</f>
        <v/>
      </c>
      <c r="V1072" s="77" t="str">
        <f t="array" ref="V1072">IFERROR(INDEX(DFD!$F$2:$F$1048791,MATCH($Q1072,DFD!$B$2:$B$1048791,0)),"")</f>
        <v/>
      </c>
      <c r="W1072" s="84" t="str">
        <f t="array" ref="W1072">IFERROR(INDEX(DFD!$E$2:$E$1048791,MATCH($Q1072,DFD!$B$2:$B$1048791,0)),"")</f>
        <v/>
      </c>
      <c r="X1072" s="84" t="str">
        <f t="array" ref="X1072">IFERROR(INDEX(DFD!$K$2:$K$1048791,MATCH($Q1072,DFD!$B$2:$B$1048791,0)),"")</f>
        <v/>
      </c>
      <c r="Y1072" s="84" t="str">
        <f t="array" ref="Y1072">IFERROR(INDEX(DFD!$L$2:$L$1048790,MATCH($Q1072,DFD!$B$2:$B$1048790,0)),"")</f>
        <v/>
      </c>
      <c r="Z1072" s="84">
        <f t="shared" si="21"/>
        <v>45</v>
      </c>
      <c r="AA1072" s="59"/>
      <c r="AB1072" s="59" t="s">
        <v>78</v>
      </c>
      <c r="AC1072" s="59"/>
      <c r="AD1072" s="85">
        <v>46043.0</v>
      </c>
      <c r="AE1072" s="86">
        <f t="shared" si="19"/>
        <v>1</v>
      </c>
    </row>
    <row r="1073" ht="15.75" customHeight="1">
      <c r="A1073" s="87" t="s">
        <v>2805</v>
      </c>
      <c r="B1073" s="92" t="s">
        <v>101</v>
      </c>
      <c r="C1073" s="88" t="s">
        <v>2806</v>
      </c>
      <c r="D1073" s="116" t="s">
        <v>51</v>
      </c>
      <c r="E1073" s="116">
        <v>2.0</v>
      </c>
      <c r="F1073" s="137">
        <v>6000.0</v>
      </c>
      <c r="G1073" s="90" t="s">
        <v>53</v>
      </c>
      <c r="H1073" s="118">
        <v>46204.0</v>
      </c>
      <c r="I1073" s="92" t="s">
        <v>18</v>
      </c>
      <c r="J1073" s="92" t="s">
        <v>54</v>
      </c>
      <c r="K1073" s="92" t="s">
        <v>83</v>
      </c>
      <c r="L1073" s="92" t="s">
        <v>56</v>
      </c>
      <c r="M1073" s="90" t="s">
        <v>112</v>
      </c>
      <c r="N1073" s="92" t="s">
        <v>58</v>
      </c>
      <c r="O1073" s="92" t="s">
        <v>89</v>
      </c>
      <c r="P1073" s="87"/>
      <c r="Q1073" s="87" t="s">
        <v>1569</v>
      </c>
      <c r="R1073" s="93" t="s">
        <v>269</v>
      </c>
      <c r="S1073" s="87"/>
      <c r="T1073" s="87"/>
      <c r="U1073" s="94" t="str">
        <f t="array" ref="U1073">IFERROR(INDEX(DFD!$D$2:$D$1048791,MATCH($Q1073,DFD!$B$2:$B$1048791,0)),"")</f>
        <v/>
      </c>
      <c r="V1073" s="94" t="str">
        <f t="array" ref="V1073">IFERROR(INDEX(DFD!$F$2:$F$1048791,MATCH($Q1073,DFD!$B$2:$B$1048791,0)),"")</f>
        <v/>
      </c>
      <c r="W1073" s="97" t="str">
        <f t="array" ref="W1073">IFERROR(INDEX(DFD!$E$2:$E$1048791,MATCH($Q1073,DFD!$B$2:$B$1048791,0)),"")</f>
        <v/>
      </c>
      <c r="X1073" s="97" t="str">
        <f t="array" ref="X1073">IFERROR(INDEX(DFD!$K$2:$K$1048791,MATCH($Q1073,DFD!$B$2:$B$1048791,0)),"")</f>
        <v/>
      </c>
      <c r="Y1073" s="97" t="str">
        <f t="array" ref="Y1073">IFERROR(INDEX(DFD!$L$2:$L$1048790,MATCH($Q1073,DFD!$B$2:$B$1048790,0)),"")</f>
        <v/>
      </c>
      <c r="Z1073" s="97">
        <f t="shared" si="21"/>
        <v>45</v>
      </c>
      <c r="AA1073" s="87"/>
      <c r="AB1073" s="87" t="s">
        <v>78</v>
      </c>
      <c r="AC1073" s="87"/>
      <c r="AD1073" s="99">
        <v>46043.0</v>
      </c>
      <c r="AE1073" s="100">
        <f t="shared" si="19"/>
        <v>1</v>
      </c>
    </row>
    <row r="1074" ht="15.75" customHeight="1">
      <c r="A1074" s="67" t="s">
        <v>2807</v>
      </c>
      <c r="B1074" s="59" t="s">
        <v>184</v>
      </c>
      <c r="C1074" s="60" t="s">
        <v>2808</v>
      </c>
      <c r="D1074" s="60" t="s">
        <v>51</v>
      </c>
      <c r="E1074" s="60">
        <v>80.0</v>
      </c>
      <c r="F1074" s="72">
        <v>1600.0</v>
      </c>
      <c r="G1074" s="73" t="s">
        <v>53</v>
      </c>
      <c r="H1074" s="74">
        <v>46174.0</v>
      </c>
      <c r="I1074" s="67" t="s">
        <v>17</v>
      </c>
      <c r="J1074" s="67" t="s">
        <v>54</v>
      </c>
      <c r="K1074" s="67" t="s">
        <v>66</v>
      </c>
      <c r="L1074" s="67" t="s">
        <v>67</v>
      </c>
      <c r="M1074" s="73" t="s">
        <v>132</v>
      </c>
      <c r="N1074" s="67" t="s">
        <v>20</v>
      </c>
      <c r="O1074" s="59" t="s">
        <v>69</v>
      </c>
      <c r="P1074" s="59"/>
      <c r="Q1074" s="59" t="s">
        <v>286</v>
      </c>
      <c r="R1074" s="76" t="s">
        <v>287</v>
      </c>
      <c r="S1074" s="59"/>
      <c r="T1074" s="59"/>
      <c r="U1074" s="77" t="str">
        <f t="array" ref="U1074">IFERROR(INDEX(DFD!$D$2:$D$1048791,MATCH($Q1074,DFD!$B$2:$B$1048791,0)),"")</f>
        <v/>
      </c>
      <c r="V1074" s="77" t="str">
        <f t="array" ref="V1074">IFERROR(INDEX(DFD!$F$2:$F$1048791,MATCH($Q1074,DFD!$B$2:$B$1048791,0)),"")</f>
        <v/>
      </c>
      <c r="W1074" s="84" t="str">
        <f t="array" ref="W1074">IFERROR(INDEX(DFD!$E$2:$E$1048791,MATCH($Q1074,DFD!$B$2:$B$1048791,0)),"")</f>
        <v/>
      </c>
      <c r="X1074" s="84" t="str">
        <f t="array" ref="X1074">IFERROR(INDEX(DFD!$K$2:$K$1048791,MATCH($Q1074,DFD!$B$2:$B$1048791,0)),"")</f>
        <v/>
      </c>
      <c r="Y1074" s="84" t="str">
        <f t="array" ref="Y1074">IFERROR(INDEX(DFD!$L$2:$L$1048790,MATCH($Q1074,DFD!$B$2:$B$1048790,0)),"")</f>
        <v/>
      </c>
      <c r="Z1074" s="84">
        <f t="shared" si="21"/>
        <v>45</v>
      </c>
      <c r="AA1074" s="59"/>
      <c r="AB1074" s="59" t="s">
        <v>288</v>
      </c>
      <c r="AC1074" s="59"/>
      <c r="AD1074" s="85">
        <v>46043.0</v>
      </c>
      <c r="AE1074" s="86">
        <f t="shared" si="19"/>
        <v>1</v>
      </c>
    </row>
    <row r="1075" ht="15.75" customHeight="1">
      <c r="A1075" s="87" t="s">
        <v>2809</v>
      </c>
      <c r="B1075" s="87" t="s">
        <v>101</v>
      </c>
      <c r="C1075" s="88" t="s">
        <v>2808</v>
      </c>
      <c r="D1075" s="88" t="s">
        <v>51</v>
      </c>
      <c r="E1075" s="88">
        <v>5.0</v>
      </c>
      <c r="F1075" s="89">
        <v>127.5</v>
      </c>
      <c r="G1075" s="90" t="s">
        <v>53</v>
      </c>
      <c r="H1075" s="91">
        <v>46143.0</v>
      </c>
      <c r="I1075" s="92" t="s">
        <v>17</v>
      </c>
      <c r="J1075" s="92" t="s">
        <v>54</v>
      </c>
      <c r="K1075" s="92" t="s">
        <v>66</v>
      </c>
      <c r="L1075" s="92" t="s">
        <v>56</v>
      </c>
      <c r="M1075" s="90" t="s">
        <v>132</v>
      </c>
      <c r="N1075" s="92" t="s">
        <v>58</v>
      </c>
      <c r="O1075" s="87" t="s">
        <v>69</v>
      </c>
      <c r="P1075" s="87"/>
      <c r="Q1075" s="87" t="s">
        <v>286</v>
      </c>
      <c r="R1075" s="93" t="s">
        <v>287</v>
      </c>
      <c r="S1075" s="87"/>
      <c r="T1075" s="87"/>
      <c r="U1075" s="94" t="str">
        <f t="array" ref="U1075">IFERROR(INDEX(DFD!$D$2:$D$1048791,MATCH($Q1075,DFD!$B$2:$B$1048791,0)),"")</f>
        <v/>
      </c>
      <c r="V1075" s="94" t="str">
        <f t="array" ref="V1075">IFERROR(INDEX(DFD!$F$2:$F$1048791,MATCH($Q1075,DFD!$B$2:$B$1048791,0)),"")</f>
        <v/>
      </c>
      <c r="W1075" s="97" t="str">
        <f t="array" ref="W1075">IFERROR(INDEX(DFD!$E$2:$E$1048791,MATCH($Q1075,DFD!$B$2:$B$1048791,0)),"")</f>
        <v/>
      </c>
      <c r="X1075" s="97" t="str">
        <f t="array" ref="X1075">IFERROR(INDEX(DFD!$K$2:$K$1048791,MATCH($Q1075,DFD!$B$2:$B$1048791,0)),"")</f>
        <v/>
      </c>
      <c r="Y1075" s="97" t="str">
        <f t="array" ref="Y1075">IFERROR(INDEX(DFD!$L$2:$L$1048790,MATCH($Q1075,DFD!$B$2:$B$1048790,0)),"")</f>
        <v/>
      </c>
      <c r="Z1075" s="97">
        <f t="shared" si="21"/>
        <v>45</v>
      </c>
      <c r="AA1075" s="87"/>
      <c r="AB1075" s="87" t="s">
        <v>288</v>
      </c>
      <c r="AC1075" s="87"/>
      <c r="AD1075" s="99">
        <v>46043.0</v>
      </c>
      <c r="AE1075" s="100">
        <f t="shared" si="19"/>
        <v>1</v>
      </c>
    </row>
    <row r="1076" ht="15.75" customHeight="1">
      <c r="A1076" s="67" t="s">
        <v>2810</v>
      </c>
      <c r="B1076" s="59" t="s">
        <v>184</v>
      </c>
      <c r="C1076" s="60" t="s">
        <v>2811</v>
      </c>
      <c r="D1076" s="60" t="s">
        <v>51</v>
      </c>
      <c r="E1076" s="60">
        <v>30.0</v>
      </c>
      <c r="F1076" s="72">
        <v>1167.0</v>
      </c>
      <c r="G1076" s="73" t="s">
        <v>53</v>
      </c>
      <c r="H1076" s="74">
        <v>46174.0</v>
      </c>
      <c r="I1076" s="67" t="s">
        <v>17</v>
      </c>
      <c r="J1076" s="67" t="s">
        <v>54</v>
      </c>
      <c r="K1076" s="67" t="s">
        <v>66</v>
      </c>
      <c r="L1076" s="67" t="s">
        <v>67</v>
      </c>
      <c r="M1076" s="73" t="s">
        <v>132</v>
      </c>
      <c r="N1076" s="67" t="s">
        <v>20</v>
      </c>
      <c r="O1076" s="67" t="s">
        <v>89</v>
      </c>
      <c r="P1076" s="59"/>
      <c r="Q1076" s="59" t="s">
        <v>715</v>
      </c>
      <c r="R1076" s="76" t="s">
        <v>269</v>
      </c>
      <c r="S1076" s="59"/>
      <c r="T1076" s="59"/>
      <c r="U1076" s="77" t="str">
        <f t="array" ref="U1076">IFERROR(INDEX(DFD!$D$2:$D$1048791,MATCH($Q1076,DFD!$B$2:$B$1048791,0)),"")</f>
        <v/>
      </c>
      <c r="V1076" s="77" t="str">
        <f t="array" ref="V1076">IFERROR(INDEX(DFD!$F$2:$F$1048791,MATCH($Q1076,DFD!$B$2:$B$1048791,0)),"")</f>
        <v/>
      </c>
      <c r="W1076" s="84" t="str">
        <f t="array" ref="W1076">IFERROR(INDEX(DFD!$E$2:$E$1048791,MATCH($Q1076,DFD!$B$2:$B$1048791,0)),"")</f>
        <v/>
      </c>
      <c r="X1076" s="84" t="str">
        <f t="array" ref="X1076">IFERROR(INDEX(DFD!$K$2:$K$1048791,MATCH($Q1076,DFD!$B$2:$B$1048791,0)),"")</f>
        <v/>
      </c>
      <c r="Y1076" s="84" t="str">
        <f t="array" ref="Y1076">IFERROR(INDEX(DFD!$L$2:$L$1048790,MATCH($Q1076,DFD!$B$2:$B$1048790,0)),"")</f>
        <v/>
      </c>
      <c r="Z1076" s="84">
        <f t="shared" si="21"/>
        <v>45</v>
      </c>
      <c r="AA1076" s="59"/>
      <c r="AB1076" s="59" t="s">
        <v>78</v>
      </c>
      <c r="AC1076" s="59"/>
      <c r="AD1076" s="85">
        <v>46043.0</v>
      </c>
      <c r="AE1076" s="86">
        <f t="shared" si="19"/>
        <v>1</v>
      </c>
    </row>
    <row r="1077" ht="15.75" customHeight="1">
      <c r="A1077" s="87" t="s">
        <v>2812</v>
      </c>
      <c r="B1077" s="87" t="s">
        <v>277</v>
      </c>
      <c r="C1077" s="88" t="s">
        <v>2811</v>
      </c>
      <c r="D1077" s="88" t="s">
        <v>51</v>
      </c>
      <c r="E1077" s="88">
        <v>25.0</v>
      </c>
      <c r="F1077" s="89">
        <v>972.5</v>
      </c>
      <c r="G1077" s="90" t="s">
        <v>53</v>
      </c>
      <c r="H1077" s="91">
        <v>46174.0</v>
      </c>
      <c r="I1077" s="92" t="s">
        <v>17</v>
      </c>
      <c r="J1077" s="92" t="s">
        <v>54</v>
      </c>
      <c r="K1077" s="92" t="s">
        <v>66</v>
      </c>
      <c r="L1077" s="92" t="s">
        <v>67</v>
      </c>
      <c r="M1077" s="90" t="s">
        <v>132</v>
      </c>
      <c r="N1077" s="92" t="s">
        <v>5</v>
      </c>
      <c r="O1077" s="87" t="s">
        <v>69</v>
      </c>
      <c r="P1077" s="87"/>
      <c r="Q1077" s="87" t="s">
        <v>715</v>
      </c>
      <c r="R1077" s="93" t="s">
        <v>269</v>
      </c>
      <c r="S1077" s="87"/>
      <c r="T1077" s="87"/>
      <c r="U1077" s="94" t="str">
        <f t="array" ref="U1077">IFERROR(INDEX(DFD!$D$2:$D$1048791,MATCH($Q1077,DFD!$B$2:$B$1048791,0)),"")</f>
        <v/>
      </c>
      <c r="V1077" s="94" t="str">
        <f t="array" ref="V1077">IFERROR(INDEX(DFD!$F$2:$F$1048791,MATCH($Q1077,DFD!$B$2:$B$1048791,0)),"")</f>
        <v/>
      </c>
      <c r="W1077" s="97" t="str">
        <f t="array" ref="W1077">IFERROR(INDEX(DFD!$E$2:$E$1048791,MATCH($Q1077,DFD!$B$2:$B$1048791,0)),"")</f>
        <v/>
      </c>
      <c r="X1077" s="97" t="str">
        <f t="array" ref="X1077">IFERROR(INDEX(DFD!$K$2:$K$1048791,MATCH($Q1077,DFD!$B$2:$B$1048791,0)),"")</f>
        <v/>
      </c>
      <c r="Y1077" s="97" t="str">
        <f t="array" ref="Y1077">IFERROR(INDEX(DFD!$L$2:$L$1048790,MATCH($Q1077,DFD!$B$2:$B$1048790,0)),"")</f>
        <v/>
      </c>
      <c r="Z1077" s="97">
        <f t="shared" si="21"/>
        <v>45</v>
      </c>
      <c r="AA1077" s="87"/>
      <c r="AB1077" s="87" t="s">
        <v>78</v>
      </c>
      <c r="AC1077" s="87"/>
      <c r="AD1077" s="99">
        <v>46043.0</v>
      </c>
      <c r="AE1077" s="100">
        <f t="shared" si="19"/>
        <v>1</v>
      </c>
    </row>
    <row r="1078" ht="15.75" customHeight="1">
      <c r="A1078" s="67" t="s">
        <v>2813</v>
      </c>
      <c r="B1078" s="59" t="s">
        <v>49</v>
      </c>
      <c r="C1078" s="60" t="s">
        <v>2814</v>
      </c>
      <c r="D1078" s="60" t="s">
        <v>51</v>
      </c>
      <c r="E1078" s="60">
        <v>100.0</v>
      </c>
      <c r="F1078" s="72">
        <v>50000.0</v>
      </c>
      <c r="G1078" s="73" t="s">
        <v>437</v>
      </c>
      <c r="H1078" s="74">
        <v>46266.0</v>
      </c>
      <c r="I1078" s="67" t="s">
        <v>17</v>
      </c>
      <c r="J1078" s="67" t="s">
        <v>54</v>
      </c>
      <c r="K1078" s="67" t="s">
        <v>55</v>
      </c>
      <c r="L1078" s="67" t="s">
        <v>56</v>
      </c>
      <c r="M1078" s="73" t="s">
        <v>132</v>
      </c>
      <c r="N1078" s="67" t="s">
        <v>20</v>
      </c>
      <c r="O1078" s="59" t="s">
        <v>69</v>
      </c>
      <c r="P1078" s="59"/>
      <c r="Q1078" s="59" t="s">
        <v>2815</v>
      </c>
      <c r="R1078" s="76" t="s">
        <v>61</v>
      </c>
      <c r="S1078" s="59"/>
      <c r="T1078" s="59"/>
      <c r="U1078" s="77" t="str">
        <f t="array" ref="U1078">IFERROR(INDEX(DFD!$D$2:$D$1048791,MATCH($Q1078,DFD!$B$2:$B$1048791,0)),"")</f>
        <v/>
      </c>
      <c r="V1078" s="77" t="s">
        <v>62</v>
      </c>
      <c r="W1078" s="84" t="str">
        <f t="array" ref="W1078">IFERROR(INDEX(DFD!$E$2:$E$1048791,MATCH($Q1078,DFD!$B$2:$B$1048791,0)),"")</f>
        <v/>
      </c>
      <c r="X1078" s="84" t="str">
        <f t="array" ref="X1078">IFERROR(INDEX(DFD!$K$2:$K$1048791,MATCH($Q1078,DFD!$B$2:$B$1048791,0)),"")</f>
        <v/>
      </c>
      <c r="Y1078" s="84" t="str">
        <f t="array" ref="Y1078">IFERROR(INDEX(DFD!$L$2:$L$1048790,MATCH($Q1078,DFD!$B$2:$B$1048790,0)),"")</f>
        <v/>
      </c>
      <c r="Z1078" s="84">
        <f t="shared" si="21"/>
        <v>45</v>
      </c>
      <c r="AA1078" s="59"/>
      <c r="AB1078" s="59" t="s">
        <v>78</v>
      </c>
      <c r="AC1078" s="59"/>
      <c r="AD1078" s="85">
        <v>46043.0</v>
      </c>
      <c r="AE1078" s="86">
        <f t="shared" si="19"/>
        <v>1</v>
      </c>
    </row>
    <row r="1079" ht="15.75" customHeight="1">
      <c r="A1079" s="92" t="s">
        <v>2816</v>
      </c>
      <c r="B1079" s="87" t="s">
        <v>184</v>
      </c>
      <c r="C1079" s="88" t="s">
        <v>2817</v>
      </c>
      <c r="D1079" s="88" t="s">
        <v>51</v>
      </c>
      <c r="E1079" s="88">
        <v>3.0</v>
      </c>
      <c r="F1079" s="89">
        <v>960.0</v>
      </c>
      <c r="G1079" s="90" t="s">
        <v>53</v>
      </c>
      <c r="H1079" s="91">
        <v>46031.0</v>
      </c>
      <c r="I1079" s="92" t="s">
        <v>17</v>
      </c>
      <c r="J1079" s="92" t="s">
        <v>54</v>
      </c>
      <c r="K1079" s="92" t="s">
        <v>372</v>
      </c>
      <c r="L1079" s="92" t="s">
        <v>67</v>
      </c>
      <c r="M1079" s="90" t="s">
        <v>104</v>
      </c>
      <c r="N1079" s="92" t="s">
        <v>20</v>
      </c>
      <c r="O1079" s="92" t="s">
        <v>89</v>
      </c>
      <c r="P1079" s="87"/>
      <c r="Q1079" s="87" t="s">
        <v>113</v>
      </c>
      <c r="R1079" s="93" t="s">
        <v>503</v>
      </c>
      <c r="S1079" s="129"/>
      <c r="T1079" s="87"/>
      <c r="U1079" s="94" t="str">
        <f t="array" ref="U1079">IFERROR(INDEX(DFD!$D$2:$D$1048791,MATCH($Q1079,DFD!$B$2:$B$1048791,0)),"")</f>
        <v/>
      </c>
      <c r="V1079" s="94" t="str">
        <f t="array" ref="V1079">IFERROR(INDEX(DFD!$F$2:$F$1048791,MATCH($Q1079,DFD!$B$2:$B$1048791,0)),"")</f>
        <v/>
      </c>
      <c r="W1079" s="97" t="str">
        <f t="array" ref="W1079">IFERROR(INDEX(DFD!$E$2:$E$1048791,MATCH($Q1079,DFD!$B$2:$B$1048791,0)),"")</f>
        <v/>
      </c>
      <c r="X1079" s="97" t="str">
        <f t="array" ref="X1079">IFERROR(INDEX(DFD!$K$2:$K$1048791,MATCH($Q1079,DFD!$B$2:$B$1048791,0)),"")</f>
        <v/>
      </c>
      <c r="Y1079" s="97" t="str">
        <f t="array" ref="Y1079">IFERROR(INDEX(DFD!$L$2:$L$1048790,MATCH($Q1079,DFD!$B$2:$B$1048790,0)),"")</f>
        <v/>
      </c>
      <c r="Z1079" s="97">
        <f t="shared" si="21"/>
        <v>45</v>
      </c>
      <c r="AA1079" s="87" t="s">
        <v>746</v>
      </c>
      <c r="AB1079" s="87" t="s">
        <v>78</v>
      </c>
      <c r="AC1079" s="87"/>
      <c r="AD1079" s="99">
        <v>46043.0</v>
      </c>
      <c r="AE1079" s="100">
        <f t="shared" si="19"/>
        <v>1</v>
      </c>
    </row>
    <row r="1080" ht="15.75" customHeight="1">
      <c r="A1080" s="59" t="s">
        <v>2818</v>
      </c>
      <c r="B1080" s="59" t="s">
        <v>101</v>
      </c>
      <c r="C1080" s="60" t="s">
        <v>2819</v>
      </c>
      <c r="D1080" s="60" t="s">
        <v>2820</v>
      </c>
      <c r="E1080" s="60">
        <v>5.0</v>
      </c>
      <c r="F1080" s="72">
        <v>1000.0</v>
      </c>
      <c r="G1080" s="73" t="s">
        <v>53</v>
      </c>
      <c r="H1080" s="74">
        <v>46174.0</v>
      </c>
      <c r="I1080" s="67" t="s">
        <v>17</v>
      </c>
      <c r="J1080" s="67" t="s">
        <v>54</v>
      </c>
      <c r="K1080" s="67" t="s">
        <v>66</v>
      </c>
      <c r="L1080" s="67" t="s">
        <v>56</v>
      </c>
      <c r="M1080" s="73" t="s">
        <v>68</v>
      </c>
      <c r="N1080" s="67" t="s">
        <v>58</v>
      </c>
      <c r="O1080" s="59" t="s">
        <v>69</v>
      </c>
      <c r="P1080" s="59"/>
      <c r="Q1080" s="59" t="s">
        <v>113</v>
      </c>
      <c r="R1080" s="76" t="s">
        <v>503</v>
      </c>
      <c r="S1080" s="59"/>
      <c r="T1080" s="59"/>
      <c r="U1080" s="77" t="str">
        <f t="array" ref="U1080">IFERROR(INDEX(DFD!$D$2:$D$1048791,MATCH($Q1080,DFD!$B$2:$B$1048791,0)),"")</f>
        <v/>
      </c>
      <c r="V1080" s="77" t="str">
        <f t="array" ref="V1080">IFERROR(INDEX(DFD!$F$2:$F$1048791,MATCH($Q1080,DFD!$B$2:$B$1048791,0)),"")</f>
        <v/>
      </c>
      <c r="W1080" s="84" t="str">
        <f t="array" ref="W1080">IFERROR(INDEX(DFD!$E$2:$E$1048791,MATCH($Q1080,DFD!$B$2:$B$1048791,0)),"")</f>
        <v/>
      </c>
      <c r="X1080" s="84" t="str">
        <f t="array" ref="X1080">IFERROR(INDEX(DFD!$K$2:$K$1048791,MATCH($Q1080,DFD!$B$2:$B$1048791,0)),"")</f>
        <v/>
      </c>
      <c r="Y1080" s="84" t="str">
        <f t="array" ref="Y1080">IFERROR(INDEX(DFD!$L$2:$L$1048790,MATCH($Q1080,DFD!$B$2:$B$1048790,0)),"")</f>
        <v/>
      </c>
      <c r="Z1080" s="84">
        <f t="shared" si="21"/>
        <v>45</v>
      </c>
      <c r="AA1080" s="59"/>
      <c r="AB1080" s="59" t="s">
        <v>78</v>
      </c>
      <c r="AC1080" s="59"/>
      <c r="AD1080" s="85">
        <v>46043.0</v>
      </c>
      <c r="AE1080" s="86">
        <f t="shared" si="19"/>
        <v>1</v>
      </c>
    </row>
    <row r="1081" ht="15.75" customHeight="1">
      <c r="A1081" s="87" t="s">
        <v>2821</v>
      </c>
      <c r="B1081" s="87" t="s">
        <v>355</v>
      </c>
      <c r="C1081" s="88" t="s">
        <v>2822</v>
      </c>
      <c r="D1081" s="88" t="s">
        <v>51</v>
      </c>
      <c r="E1081" s="88">
        <v>20.0</v>
      </c>
      <c r="F1081" s="89">
        <v>600.0</v>
      </c>
      <c r="G1081" s="90" t="s">
        <v>53</v>
      </c>
      <c r="H1081" s="91">
        <v>46174.0</v>
      </c>
      <c r="I1081" s="92" t="s">
        <v>17</v>
      </c>
      <c r="J1081" s="92" t="s">
        <v>54</v>
      </c>
      <c r="K1081" s="92" t="s">
        <v>66</v>
      </c>
      <c r="L1081" s="92" t="s">
        <v>56</v>
      </c>
      <c r="M1081" s="90" t="s">
        <v>132</v>
      </c>
      <c r="N1081" s="92" t="s">
        <v>58</v>
      </c>
      <c r="O1081" s="87" t="s">
        <v>69</v>
      </c>
      <c r="P1081" s="87"/>
      <c r="Q1081" s="87" t="s">
        <v>113</v>
      </c>
      <c r="R1081" s="93" t="s">
        <v>503</v>
      </c>
      <c r="S1081" s="87"/>
      <c r="T1081" s="87"/>
      <c r="U1081" s="94" t="str">
        <f t="array" ref="U1081">IFERROR(INDEX(DFD!$D$2:$D$1048791,MATCH($Q1081,DFD!$B$2:$B$1048791,0)),"")</f>
        <v/>
      </c>
      <c r="V1081" s="94" t="str">
        <f t="array" ref="V1081">IFERROR(INDEX(DFD!$F$2:$F$1048791,MATCH($Q1081,DFD!$B$2:$B$1048791,0)),"")</f>
        <v/>
      </c>
      <c r="W1081" s="97" t="str">
        <f t="array" ref="W1081">IFERROR(INDEX(DFD!$E$2:$E$1048791,MATCH($Q1081,DFD!$B$2:$B$1048791,0)),"")</f>
        <v/>
      </c>
      <c r="X1081" s="97" t="str">
        <f t="array" ref="X1081">IFERROR(INDEX(DFD!$K$2:$K$1048791,MATCH($Q1081,DFD!$B$2:$B$1048791,0)),"")</f>
        <v/>
      </c>
      <c r="Y1081" s="97" t="str">
        <f t="array" ref="Y1081">IFERROR(INDEX(DFD!$L$2:$L$1048790,MATCH($Q1081,DFD!$B$2:$B$1048790,0)),"")</f>
        <v/>
      </c>
      <c r="Z1081" s="97">
        <f t="shared" si="21"/>
        <v>45</v>
      </c>
      <c r="AA1081" s="87"/>
      <c r="AB1081" s="87" t="s">
        <v>78</v>
      </c>
      <c r="AC1081" s="87"/>
      <c r="AD1081" s="99">
        <v>46043.0</v>
      </c>
      <c r="AE1081" s="100">
        <f t="shared" si="19"/>
        <v>1</v>
      </c>
    </row>
    <row r="1082" ht="15.75" customHeight="1">
      <c r="A1082" s="59" t="s">
        <v>2823</v>
      </c>
      <c r="B1082" s="59" t="s">
        <v>101</v>
      </c>
      <c r="C1082" s="60" t="s">
        <v>2824</v>
      </c>
      <c r="D1082" s="60" t="s">
        <v>51</v>
      </c>
      <c r="E1082" s="60">
        <v>3.0</v>
      </c>
      <c r="F1082" s="72">
        <v>90.0</v>
      </c>
      <c r="G1082" s="73" t="s">
        <v>53</v>
      </c>
      <c r="H1082" s="74">
        <v>46143.0</v>
      </c>
      <c r="I1082" s="67" t="s">
        <v>17</v>
      </c>
      <c r="J1082" s="67" t="s">
        <v>54</v>
      </c>
      <c r="K1082" s="67" t="s">
        <v>66</v>
      </c>
      <c r="L1082" s="67" t="s">
        <v>56</v>
      </c>
      <c r="M1082" s="73" t="s">
        <v>104</v>
      </c>
      <c r="N1082" s="67" t="s">
        <v>58</v>
      </c>
      <c r="O1082" s="67" t="s">
        <v>89</v>
      </c>
      <c r="P1082" s="59"/>
      <c r="Q1082" s="59" t="s">
        <v>1392</v>
      </c>
      <c r="R1082" s="76" t="s">
        <v>373</v>
      </c>
      <c r="S1082" s="59"/>
      <c r="T1082" s="59"/>
      <c r="U1082" s="77" t="str">
        <f t="array" ref="U1082">IFERROR(INDEX(DFD!$D$2:$D$1048791,MATCH($Q1082,DFD!$B$2:$B$1048791,0)),"")</f>
        <v/>
      </c>
      <c r="V1082" s="77" t="s">
        <v>280</v>
      </c>
      <c r="W1082" s="84" t="str">
        <f t="array" ref="W1082">IFERROR(INDEX(DFD!$E$2:$E$1048791,MATCH($Q1082,DFD!$B$2:$B$1048791,0)),"")</f>
        <v/>
      </c>
      <c r="X1082" s="84" t="str">
        <f t="array" ref="X1082">IFERROR(INDEX(DFD!$K$2:$K$1048791,MATCH($Q1082,DFD!$B$2:$B$1048791,0)),"")</f>
        <v/>
      </c>
      <c r="Y1082" s="84" t="str">
        <f t="array" ref="Y1082">IFERROR(INDEX(DFD!$L$2:$L$1048790,MATCH($Q1082,DFD!$B$2:$B$1048790,0)),"")</f>
        <v/>
      </c>
      <c r="Z1082" s="84">
        <f t="shared" si="21"/>
        <v>45</v>
      </c>
      <c r="AA1082" s="59"/>
      <c r="AB1082" s="59" t="s">
        <v>78</v>
      </c>
      <c r="AC1082" s="59"/>
      <c r="AD1082" s="85">
        <v>46043.0</v>
      </c>
      <c r="AE1082" s="86">
        <f t="shared" si="19"/>
        <v>1</v>
      </c>
    </row>
    <row r="1083" ht="15.75" customHeight="1">
      <c r="A1083" s="87" t="s">
        <v>2825</v>
      </c>
      <c r="B1083" s="87" t="s">
        <v>148</v>
      </c>
      <c r="C1083" s="88" t="s">
        <v>2826</v>
      </c>
      <c r="D1083" s="88" t="s">
        <v>51</v>
      </c>
      <c r="E1083" s="88">
        <v>800.0</v>
      </c>
      <c r="F1083" s="89">
        <v>9600.0</v>
      </c>
      <c r="G1083" s="90" t="s">
        <v>53</v>
      </c>
      <c r="H1083" s="91">
        <v>46204.0</v>
      </c>
      <c r="I1083" s="92" t="s">
        <v>17</v>
      </c>
      <c r="J1083" s="92" t="s">
        <v>54</v>
      </c>
      <c r="K1083" s="92" t="s">
        <v>66</v>
      </c>
      <c r="L1083" s="92" t="s">
        <v>67</v>
      </c>
      <c r="M1083" s="90" t="s">
        <v>68</v>
      </c>
      <c r="N1083" s="92" t="s">
        <v>5</v>
      </c>
      <c r="O1083" s="87" t="s">
        <v>69</v>
      </c>
      <c r="P1083" s="87"/>
      <c r="Q1083" s="87" t="s">
        <v>342</v>
      </c>
      <c r="R1083" s="93" t="s">
        <v>269</v>
      </c>
      <c r="S1083" s="87"/>
      <c r="T1083" s="87"/>
      <c r="U1083" s="94" t="str">
        <f t="array" ref="U1083">IFERROR(INDEX(DFD!$D$2:$D$1048791,MATCH($Q1083,DFD!$B$2:$B$1048791,0)),"")</f>
        <v/>
      </c>
      <c r="V1083" s="94" t="str">
        <f t="array" ref="V1083">IFERROR(INDEX(DFD!$F$2:$F$1048791,MATCH($Q1083,DFD!$B$2:$B$1048791,0)),"")</f>
        <v/>
      </c>
      <c r="W1083" s="97" t="str">
        <f t="array" ref="W1083">IFERROR(INDEX(DFD!$E$2:$E$1048791,MATCH($Q1083,DFD!$B$2:$B$1048791,0)),"")</f>
        <v/>
      </c>
      <c r="X1083" s="97" t="str">
        <f t="array" ref="X1083">IFERROR(INDEX(DFD!$K$2:$K$1048791,MATCH($Q1083,DFD!$B$2:$B$1048791,0)),"")</f>
        <v/>
      </c>
      <c r="Y1083" s="97" t="str">
        <f t="array" ref="Y1083">IFERROR(INDEX(DFD!$L$2:$L$1048790,MATCH($Q1083,DFD!$B$2:$B$1048790,0)),"")</f>
        <v/>
      </c>
      <c r="Z1083" s="97">
        <f t="shared" si="21"/>
        <v>45</v>
      </c>
      <c r="AA1083" s="87"/>
      <c r="AB1083" s="87" t="s">
        <v>78</v>
      </c>
      <c r="AC1083" s="87"/>
      <c r="AD1083" s="99">
        <v>46043.0</v>
      </c>
      <c r="AE1083" s="100">
        <f t="shared" si="19"/>
        <v>1</v>
      </c>
    </row>
    <row r="1084" ht="15.75" customHeight="1">
      <c r="A1084" s="59" t="s">
        <v>2827</v>
      </c>
      <c r="B1084" s="59" t="s">
        <v>148</v>
      </c>
      <c r="C1084" s="60" t="s">
        <v>2828</v>
      </c>
      <c r="D1084" s="60" t="s">
        <v>51</v>
      </c>
      <c r="E1084" s="60">
        <v>800.0</v>
      </c>
      <c r="F1084" s="72">
        <v>1760.0</v>
      </c>
      <c r="G1084" s="73" t="s">
        <v>53</v>
      </c>
      <c r="H1084" s="74">
        <v>46174.0</v>
      </c>
      <c r="I1084" s="67" t="s">
        <v>17</v>
      </c>
      <c r="J1084" s="67" t="s">
        <v>54</v>
      </c>
      <c r="K1084" s="67" t="s">
        <v>66</v>
      </c>
      <c r="L1084" s="67" t="s">
        <v>67</v>
      </c>
      <c r="M1084" s="73" t="s">
        <v>117</v>
      </c>
      <c r="N1084" s="67" t="s">
        <v>5</v>
      </c>
      <c r="O1084" s="59" t="s">
        <v>69</v>
      </c>
      <c r="P1084" s="59"/>
      <c r="Q1084" s="59" t="s">
        <v>342</v>
      </c>
      <c r="R1084" s="76" t="s">
        <v>269</v>
      </c>
      <c r="S1084" s="59"/>
      <c r="T1084" s="59"/>
      <c r="U1084" s="77" t="str">
        <f t="array" ref="U1084">IFERROR(INDEX(DFD!$D$2:$D$1048791,MATCH($Q1084,DFD!$B$2:$B$1048791,0)),"")</f>
        <v/>
      </c>
      <c r="V1084" s="77" t="str">
        <f t="array" ref="V1084">IFERROR(INDEX(DFD!$F$2:$F$1048791,MATCH($Q1084,DFD!$B$2:$B$1048791,0)),"")</f>
        <v/>
      </c>
      <c r="W1084" s="84" t="str">
        <f t="array" ref="W1084">IFERROR(INDEX(DFD!$E$2:$E$1048791,MATCH($Q1084,DFD!$B$2:$B$1048791,0)),"")</f>
        <v/>
      </c>
      <c r="X1084" s="84" t="str">
        <f t="array" ref="X1084">IFERROR(INDEX(DFD!$K$2:$K$1048791,MATCH($Q1084,DFD!$B$2:$B$1048791,0)),"")</f>
        <v/>
      </c>
      <c r="Y1084" s="84" t="str">
        <f t="array" ref="Y1084">IFERROR(INDEX(DFD!$L$2:$L$1048790,MATCH($Q1084,DFD!$B$2:$B$1048790,0)),"")</f>
        <v/>
      </c>
      <c r="Z1084" s="84">
        <f t="shared" si="21"/>
        <v>45</v>
      </c>
      <c r="AA1084" s="59"/>
      <c r="AB1084" s="59" t="s">
        <v>78</v>
      </c>
      <c r="AC1084" s="59"/>
      <c r="AD1084" s="85">
        <v>46043.0</v>
      </c>
      <c r="AE1084" s="86">
        <f t="shared" si="19"/>
        <v>1</v>
      </c>
    </row>
    <row r="1085" ht="15.75" customHeight="1">
      <c r="A1085" s="87" t="s">
        <v>2829</v>
      </c>
      <c r="B1085" s="87" t="s">
        <v>148</v>
      </c>
      <c r="C1085" s="88" t="s">
        <v>2830</v>
      </c>
      <c r="D1085" s="88" t="s">
        <v>51</v>
      </c>
      <c r="E1085" s="88">
        <v>800.0</v>
      </c>
      <c r="F1085" s="89">
        <v>9600.0</v>
      </c>
      <c r="G1085" s="90" t="s">
        <v>53</v>
      </c>
      <c r="H1085" s="91">
        <v>46204.0</v>
      </c>
      <c r="I1085" s="92" t="s">
        <v>17</v>
      </c>
      <c r="J1085" s="92" t="s">
        <v>54</v>
      </c>
      <c r="K1085" s="92" t="s">
        <v>66</v>
      </c>
      <c r="L1085" s="92" t="s">
        <v>67</v>
      </c>
      <c r="M1085" s="90" t="s">
        <v>68</v>
      </c>
      <c r="N1085" s="92" t="s">
        <v>5</v>
      </c>
      <c r="O1085" s="92" t="s">
        <v>89</v>
      </c>
      <c r="P1085" s="87"/>
      <c r="Q1085" s="87" t="s">
        <v>342</v>
      </c>
      <c r="R1085" s="93" t="s">
        <v>269</v>
      </c>
      <c r="S1085" s="87"/>
      <c r="T1085" s="87"/>
      <c r="U1085" s="94" t="str">
        <f t="array" ref="U1085">IFERROR(INDEX(DFD!$D$2:$D$1048791,MATCH($Q1085,DFD!$B$2:$B$1048791,0)),"")</f>
        <v/>
      </c>
      <c r="V1085" s="94" t="str">
        <f t="array" ref="V1085">IFERROR(INDEX(DFD!$F$2:$F$1048791,MATCH($Q1085,DFD!$B$2:$B$1048791,0)),"")</f>
        <v/>
      </c>
      <c r="W1085" s="97" t="str">
        <f t="array" ref="W1085">IFERROR(INDEX(DFD!$E$2:$E$1048791,MATCH($Q1085,DFD!$B$2:$B$1048791,0)),"")</f>
        <v/>
      </c>
      <c r="X1085" s="97" t="str">
        <f t="array" ref="X1085">IFERROR(INDEX(DFD!$K$2:$K$1048791,MATCH($Q1085,DFD!$B$2:$B$1048791,0)),"")</f>
        <v/>
      </c>
      <c r="Y1085" s="97" t="str">
        <f t="array" ref="Y1085">IFERROR(INDEX(DFD!$L$2:$L$1048790,MATCH($Q1085,DFD!$B$2:$B$1048790,0)),"")</f>
        <v/>
      </c>
      <c r="Z1085" s="97">
        <f t="shared" si="21"/>
        <v>45</v>
      </c>
      <c r="AA1085" s="87"/>
      <c r="AB1085" s="87" t="s">
        <v>78</v>
      </c>
      <c r="AC1085" s="87"/>
      <c r="AD1085" s="99">
        <v>46043.0</v>
      </c>
      <c r="AE1085" s="100">
        <f t="shared" si="19"/>
        <v>1</v>
      </c>
    </row>
    <row r="1086" ht="15.75" customHeight="1">
      <c r="A1086" s="87" t="s">
        <v>2831</v>
      </c>
      <c r="B1086" s="87" t="s">
        <v>136</v>
      </c>
      <c r="C1086" s="88" t="s">
        <v>2832</v>
      </c>
      <c r="D1086" s="88" t="s">
        <v>51</v>
      </c>
      <c r="E1086" s="88">
        <v>2.0</v>
      </c>
      <c r="F1086" s="89">
        <v>1000.0</v>
      </c>
      <c r="G1086" s="90" t="s">
        <v>53</v>
      </c>
      <c r="H1086" s="91">
        <v>46174.0</v>
      </c>
      <c r="I1086" s="92" t="s">
        <v>17</v>
      </c>
      <c r="J1086" s="92" t="s">
        <v>54</v>
      </c>
      <c r="K1086" s="92" t="s">
        <v>66</v>
      </c>
      <c r="L1086" s="92" t="s">
        <v>67</v>
      </c>
      <c r="M1086" s="90" t="s">
        <v>104</v>
      </c>
      <c r="N1086" s="92" t="s">
        <v>5</v>
      </c>
      <c r="O1086" s="87" t="s">
        <v>69</v>
      </c>
      <c r="P1086" s="87"/>
      <c r="Q1086" s="87" t="s">
        <v>576</v>
      </c>
      <c r="R1086" s="93" t="s">
        <v>577</v>
      </c>
      <c r="S1086" s="87"/>
      <c r="T1086" s="87"/>
      <c r="U1086" s="94" t="str">
        <f t="array" ref="U1086">IFERROR(INDEX(DFD!$D$2:$D$1048791,MATCH($Q1086,DFD!$B$2:$B$1048791,0)),"")</f>
        <v/>
      </c>
      <c r="V1086" s="94" t="s">
        <v>280</v>
      </c>
      <c r="W1086" s="97" t="str">
        <f t="array" ref="W1086">IFERROR(INDEX(DFD!$E$2:$E$1048791,MATCH($Q1086,DFD!$B$2:$B$1048791,0)),"")</f>
        <v/>
      </c>
      <c r="X1086" s="97" t="str">
        <f t="array" ref="X1086">IFERROR(INDEX(DFD!$K$2:$K$1048791,MATCH($Q1086,DFD!$B$2:$B$1048791,0)),"")</f>
        <v/>
      </c>
      <c r="Y1086" s="97" t="str">
        <f t="array" ref="Y1086">IFERROR(INDEX(DFD!$L$2:$L$1048790,MATCH($Q1086,DFD!$B$2:$B$1048790,0)),"")</f>
        <v/>
      </c>
      <c r="Z1086" s="97">
        <f t="shared" si="21"/>
        <v>45</v>
      </c>
      <c r="AA1086" s="87"/>
      <c r="AB1086" s="87" t="s">
        <v>78</v>
      </c>
      <c r="AC1086" s="87"/>
      <c r="AD1086" s="99">
        <v>46043.0</v>
      </c>
      <c r="AE1086" s="100">
        <f t="shared" si="19"/>
        <v>1</v>
      </c>
    </row>
    <row r="1087" ht="15.75" customHeight="1">
      <c r="A1087" s="68" t="s">
        <v>2833</v>
      </c>
      <c r="B1087" s="68" t="s">
        <v>91</v>
      </c>
      <c r="C1087" s="61" t="s">
        <v>2834</v>
      </c>
      <c r="D1087" s="61" t="s">
        <v>51</v>
      </c>
      <c r="E1087" s="61">
        <v>20.0</v>
      </c>
      <c r="F1087" s="186">
        <v>300.0</v>
      </c>
      <c r="G1087" s="64" t="s">
        <v>53</v>
      </c>
      <c r="H1087" s="65">
        <v>46174.0</v>
      </c>
      <c r="I1087" s="66" t="s">
        <v>17</v>
      </c>
      <c r="J1087" s="66" t="s">
        <v>54</v>
      </c>
      <c r="K1087" s="66" t="s">
        <v>66</v>
      </c>
      <c r="L1087" s="66" t="s">
        <v>67</v>
      </c>
      <c r="M1087" s="64" t="s">
        <v>167</v>
      </c>
      <c r="N1087" s="66" t="s">
        <v>5</v>
      </c>
      <c r="O1087" s="68" t="s">
        <v>69</v>
      </c>
      <c r="P1087" s="68"/>
      <c r="Q1087" s="68" t="s">
        <v>113</v>
      </c>
      <c r="R1087" s="187" t="s">
        <v>616</v>
      </c>
      <c r="S1087" s="68"/>
      <c r="T1087" s="68"/>
      <c r="U1087" s="70" t="str">
        <f t="array" ref="U1087">IFERROR(INDEX(DFD!$D$2:$D$1048791,MATCH($Q1087,DFD!$B$2:$B$1048791,0)),"")</f>
        <v/>
      </c>
      <c r="V1087" s="70" t="str">
        <f t="array" ref="V1087">IFERROR(INDEX(DFD!$F$2:$F$1048791,MATCH($Q1087,DFD!$B$2:$B$1048791,0)),"")</f>
        <v/>
      </c>
      <c r="W1087" s="75" t="str">
        <f t="array" ref="W1087">IFERROR(INDEX(DFD!$E$2:$E$1048791,MATCH($Q1087,DFD!$B$2:$B$1048791,0)),"")</f>
        <v/>
      </c>
      <c r="X1087" s="75" t="str">
        <f t="array" ref="X1087">IFERROR(INDEX(DFD!$K$2:$K$1048791,MATCH($Q1087,DFD!$B$2:$B$1048791,0)),"")</f>
        <v/>
      </c>
      <c r="Y1087" s="75" t="str">
        <f t="array" ref="Y1087">IFERROR(INDEX(DFD!$L$2:$L$1048790,MATCH($Q1087,DFD!$B$2:$B$1048790,0)),"")</f>
        <v/>
      </c>
      <c r="Z1087" s="75">
        <f t="shared" si="21"/>
        <v>45</v>
      </c>
      <c r="AA1087" s="68"/>
      <c r="AB1087" s="68" t="s">
        <v>78</v>
      </c>
      <c r="AC1087" s="68"/>
      <c r="AD1087" s="78">
        <v>46043.0</v>
      </c>
      <c r="AE1087" s="3">
        <f t="shared" si="19"/>
        <v>1</v>
      </c>
    </row>
    <row r="1088" ht="15.75" customHeight="1">
      <c r="A1088" s="66" t="s">
        <v>2835</v>
      </c>
      <c r="B1088" s="68" t="s">
        <v>184</v>
      </c>
      <c r="C1088" s="61" t="s">
        <v>2836</v>
      </c>
      <c r="D1088" s="61" t="s">
        <v>51</v>
      </c>
      <c r="E1088" s="61">
        <v>20.0</v>
      </c>
      <c r="F1088" s="186">
        <v>2384.0</v>
      </c>
      <c r="G1088" s="64" t="s">
        <v>53</v>
      </c>
      <c r="H1088" s="65">
        <v>46174.0</v>
      </c>
      <c r="I1088" s="66" t="s">
        <v>17</v>
      </c>
      <c r="J1088" s="66" t="s">
        <v>54</v>
      </c>
      <c r="K1088" s="66" t="s">
        <v>66</v>
      </c>
      <c r="L1088" s="66" t="s">
        <v>67</v>
      </c>
      <c r="M1088" s="64" t="s">
        <v>57</v>
      </c>
      <c r="N1088" s="66" t="s">
        <v>20</v>
      </c>
      <c r="O1088" s="66" t="s">
        <v>89</v>
      </c>
      <c r="P1088" s="68"/>
      <c r="Q1088" s="68" t="s">
        <v>113</v>
      </c>
      <c r="R1088" s="187" t="s">
        <v>503</v>
      </c>
      <c r="S1088" s="68"/>
      <c r="T1088" s="68"/>
      <c r="U1088" s="70" t="str">
        <f t="array" ref="U1088">IFERROR(INDEX(DFD!$D$2:$D$1048791,MATCH($Q1088,DFD!$B$2:$B$1048791,0)),"")</f>
        <v/>
      </c>
      <c r="V1088" s="70" t="str">
        <f t="array" ref="V1088">IFERROR(INDEX(DFD!$F$2:$F$1048791,MATCH($Q1088,DFD!$B$2:$B$1048791,0)),"")</f>
        <v/>
      </c>
      <c r="W1088" s="75" t="str">
        <f t="array" ref="W1088">IFERROR(INDEX(DFD!$E$2:$E$1048791,MATCH($Q1088,DFD!$B$2:$B$1048791,0)),"")</f>
        <v/>
      </c>
      <c r="X1088" s="75" t="str">
        <f t="array" ref="X1088">IFERROR(INDEX(DFD!$K$2:$K$1048791,MATCH($Q1088,DFD!$B$2:$B$1048791,0)),"")</f>
        <v/>
      </c>
      <c r="Y1088" s="75" t="str">
        <f t="array" ref="Y1088">IFERROR(INDEX(DFD!$L$2:$L$1048790,MATCH($Q1088,DFD!$B$2:$B$1048790,0)),"")</f>
        <v/>
      </c>
      <c r="Z1088" s="75">
        <f t="shared" si="21"/>
        <v>45</v>
      </c>
      <c r="AA1088" s="68" t="s">
        <v>746</v>
      </c>
      <c r="AB1088" s="68" t="s">
        <v>78</v>
      </c>
      <c r="AC1088" s="68"/>
      <c r="AD1088" s="78">
        <v>46043.0</v>
      </c>
      <c r="AE1088" s="3">
        <f t="shared" si="19"/>
        <v>1</v>
      </c>
    </row>
    <row r="1089" ht="15.75" customHeight="1">
      <c r="A1089" s="87" t="s">
        <v>2837</v>
      </c>
      <c r="B1089" s="87" t="s">
        <v>105</v>
      </c>
      <c r="C1089" s="88" t="s">
        <v>2838</v>
      </c>
      <c r="D1089" s="88" t="s">
        <v>51</v>
      </c>
      <c r="E1089" s="88">
        <v>5.0</v>
      </c>
      <c r="F1089" s="89">
        <v>750.0</v>
      </c>
      <c r="G1089" s="90" t="s">
        <v>53</v>
      </c>
      <c r="H1089" s="91">
        <v>46174.0</v>
      </c>
      <c r="I1089" s="92" t="s">
        <v>17</v>
      </c>
      <c r="J1089" s="92" t="s">
        <v>54</v>
      </c>
      <c r="K1089" s="92" t="s">
        <v>66</v>
      </c>
      <c r="L1089" s="92" t="s">
        <v>67</v>
      </c>
      <c r="M1089" s="90" t="s">
        <v>57</v>
      </c>
      <c r="N1089" s="92" t="s">
        <v>5</v>
      </c>
      <c r="O1089" s="87" t="s">
        <v>69</v>
      </c>
      <c r="P1089" s="87"/>
      <c r="Q1089" s="87" t="s">
        <v>113</v>
      </c>
      <c r="R1089" s="93" t="s">
        <v>503</v>
      </c>
      <c r="S1089" s="87"/>
      <c r="T1089" s="87"/>
      <c r="U1089" s="94" t="str">
        <f t="array" ref="U1089">IFERROR(INDEX(DFD!$D$2:$D$1048791,MATCH($Q1089,DFD!$B$2:$B$1048791,0)),"")</f>
        <v/>
      </c>
      <c r="V1089" s="94" t="str">
        <f t="array" ref="V1089">IFERROR(INDEX(DFD!$F$2:$F$1048791,MATCH($Q1089,DFD!$B$2:$B$1048791,0)),"")</f>
        <v/>
      </c>
      <c r="W1089" s="97" t="str">
        <f t="array" ref="W1089">IFERROR(INDEX(DFD!$E$2:$E$1048791,MATCH($Q1089,DFD!$B$2:$B$1048791,0)),"")</f>
        <v/>
      </c>
      <c r="X1089" s="97" t="str">
        <f t="array" ref="X1089">IFERROR(INDEX(DFD!$K$2:$K$1048791,MATCH($Q1089,DFD!$B$2:$B$1048791,0)),"")</f>
        <v/>
      </c>
      <c r="Y1089" s="97" t="str">
        <f t="array" ref="Y1089">IFERROR(INDEX(DFD!$L$2:$L$1048790,MATCH($Q1089,DFD!$B$2:$B$1048790,0)),"")</f>
        <v/>
      </c>
      <c r="Z1089" s="97">
        <f t="shared" si="21"/>
        <v>45</v>
      </c>
      <c r="AA1089" s="87"/>
      <c r="AB1089" s="87" t="s">
        <v>78</v>
      </c>
      <c r="AC1089" s="87"/>
      <c r="AD1089" s="99">
        <v>46043.0</v>
      </c>
      <c r="AE1089" s="100">
        <f t="shared" si="19"/>
        <v>1</v>
      </c>
    </row>
    <row r="1090" ht="15.75" customHeight="1">
      <c r="A1090" s="68" t="s">
        <v>2839</v>
      </c>
      <c r="B1090" s="68" t="s">
        <v>80</v>
      </c>
      <c r="C1090" s="61" t="s">
        <v>941</v>
      </c>
      <c r="D1090" s="61" t="s">
        <v>51</v>
      </c>
      <c r="E1090" s="61">
        <v>10.0</v>
      </c>
      <c r="F1090" s="186">
        <v>800.0</v>
      </c>
      <c r="G1090" s="64" t="s">
        <v>53</v>
      </c>
      <c r="H1090" s="65">
        <v>46174.0</v>
      </c>
      <c r="I1090" s="66" t="s">
        <v>17</v>
      </c>
      <c r="J1090" s="66" t="s">
        <v>54</v>
      </c>
      <c r="K1090" s="66" t="s">
        <v>66</v>
      </c>
      <c r="L1090" s="66" t="s">
        <v>67</v>
      </c>
      <c r="M1090" s="64" t="s">
        <v>112</v>
      </c>
      <c r="N1090" s="66" t="s">
        <v>5</v>
      </c>
      <c r="O1090" s="68" t="s">
        <v>69</v>
      </c>
      <c r="P1090" s="68"/>
      <c r="Q1090" s="68" t="s">
        <v>1719</v>
      </c>
      <c r="R1090" s="187" t="s">
        <v>269</v>
      </c>
      <c r="S1090" s="68"/>
      <c r="T1090" s="68"/>
      <c r="U1090" s="70" t="str">
        <f t="array" ref="U1090">IFERROR(INDEX(DFD!$D$2:$D$1048791,MATCH($Q1090,DFD!$B$2:$B$1048791,0)),"")</f>
        <v/>
      </c>
      <c r="V1090" s="70" t="str">
        <f t="array" ref="V1090">IFERROR(INDEX(DFD!$F$2:$F$1048791,MATCH($Q1090,DFD!$B$2:$B$1048791,0)),"")</f>
        <v/>
      </c>
      <c r="W1090" s="75" t="str">
        <f t="array" ref="W1090">IFERROR(INDEX(DFD!$E$2:$E$1048791,MATCH($Q1090,DFD!$B$2:$B$1048791,0)),"")</f>
        <v/>
      </c>
      <c r="X1090" s="75" t="str">
        <f t="array" ref="X1090">IFERROR(INDEX(DFD!$K$2:$K$1048791,MATCH($Q1090,DFD!$B$2:$B$1048791,0)),"")</f>
        <v/>
      </c>
      <c r="Y1090" s="75" t="str">
        <f t="array" ref="Y1090">IFERROR(INDEX(DFD!$L$2:$L$1048790,MATCH($Q1090,DFD!$B$2:$B$1048790,0)),"")</f>
        <v/>
      </c>
      <c r="Z1090" s="75">
        <f t="shared" si="21"/>
        <v>45</v>
      </c>
      <c r="AA1090" s="68"/>
      <c r="AB1090" s="68" t="s">
        <v>78</v>
      </c>
      <c r="AC1090" s="68"/>
      <c r="AD1090" s="78">
        <v>46043.0</v>
      </c>
      <c r="AE1090" s="3">
        <f t="shared" si="19"/>
        <v>1</v>
      </c>
    </row>
    <row r="1091" ht="15.75" customHeight="1">
      <c r="A1091" s="87" t="s">
        <v>2840</v>
      </c>
      <c r="B1091" s="87" t="s">
        <v>107</v>
      </c>
      <c r="C1091" s="88" t="s">
        <v>941</v>
      </c>
      <c r="D1091" s="88" t="s">
        <v>51</v>
      </c>
      <c r="E1091" s="88">
        <v>10.0</v>
      </c>
      <c r="F1091" s="89">
        <v>800.0</v>
      </c>
      <c r="G1091" s="90" t="s">
        <v>53</v>
      </c>
      <c r="H1091" s="91">
        <v>46174.0</v>
      </c>
      <c r="I1091" s="92" t="s">
        <v>17</v>
      </c>
      <c r="J1091" s="92" t="s">
        <v>54</v>
      </c>
      <c r="K1091" s="92" t="s">
        <v>66</v>
      </c>
      <c r="L1091" s="92" t="s">
        <v>67</v>
      </c>
      <c r="M1091" s="90" t="s">
        <v>112</v>
      </c>
      <c r="N1091" s="92" t="s">
        <v>5</v>
      </c>
      <c r="O1091" s="92" t="s">
        <v>89</v>
      </c>
      <c r="P1091" s="87"/>
      <c r="Q1091" s="87" t="s">
        <v>1719</v>
      </c>
      <c r="R1091" s="93" t="s">
        <v>269</v>
      </c>
      <c r="S1091" s="87"/>
      <c r="T1091" s="87"/>
      <c r="U1091" s="94" t="str">
        <f t="array" ref="U1091">IFERROR(INDEX(DFD!$D$2:$D$1048791,MATCH($Q1091,DFD!$B$2:$B$1048791,0)),"")</f>
        <v/>
      </c>
      <c r="V1091" s="94" t="str">
        <f t="array" ref="V1091">IFERROR(INDEX(DFD!$F$2:$F$1048791,MATCH($Q1091,DFD!$B$2:$B$1048791,0)),"")</f>
        <v/>
      </c>
      <c r="W1091" s="97" t="str">
        <f t="array" ref="W1091">IFERROR(INDEX(DFD!$E$2:$E$1048791,MATCH($Q1091,DFD!$B$2:$B$1048791,0)),"")</f>
        <v/>
      </c>
      <c r="X1091" s="97" t="str">
        <f t="array" ref="X1091">IFERROR(INDEX(DFD!$K$2:$K$1048791,MATCH($Q1091,DFD!$B$2:$B$1048791,0)),"")</f>
        <v/>
      </c>
      <c r="Y1091" s="97" t="str">
        <f t="array" ref="Y1091">IFERROR(INDEX(DFD!$L$2:$L$1048790,MATCH($Q1091,DFD!$B$2:$B$1048790,0)),"")</f>
        <v/>
      </c>
      <c r="Z1091" s="97">
        <f t="shared" si="21"/>
        <v>45</v>
      </c>
      <c r="AA1091" s="87"/>
      <c r="AB1091" s="87" t="s">
        <v>78</v>
      </c>
      <c r="AC1091" s="87"/>
      <c r="AD1091" s="99">
        <v>46043.0</v>
      </c>
      <c r="AE1091" s="100">
        <f t="shared" si="19"/>
        <v>1</v>
      </c>
    </row>
    <row r="1092" ht="15.75" customHeight="1">
      <c r="A1092" s="87" t="s">
        <v>2841</v>
      </c>
      <c r="B1092" s="87" t="s">
        <v>87</v>
      </c>
      <c r="C1092" s="88" t="s">
        <v>941</v>
      </c>
      <c r="D1092" s="88" t="s">
        <v>51</v>
      </c>
      <c r="E1092" s="88">
        <v>10.0</v>
      </c>
      <c r="F1092" s="89">
        <v>800.0</v>
      </c>
      <c r="G1092" s="90" t="s">
        <v>53</v>
      </c>
      <c r="H1092" s="91">
        <v>46174.0</v>
      </c>
      <c r="I1092" s="92" t="s">
        <v>17</v>
      </c>
      <c r="J1092" s="92" t="s">
        <v>54</v>
      </c>
      <c r="K1092" s="92" t="s">
        <v>66</v>
      </c>
      <c r="L1092" s="92" t="s">
        <v>67</v>
      </c>
      <c r="M1092" s="90" t="s">
        <v>112</v>
      </c>
      <c r="N1092" s="92" t="s">
        <v>5</v>
      </c>
      <c r="O1092" s="87" t="s">
        <v>69</v>
      </c>
      <c r="P1092" s="87"/>
      <c r="Q1092" s="87" t="s">
        <v>1719</v>
      </c>
      <c r="R1092" s="93" t="s">
        <v>269</v>
      </c>
      <c r="S1092" s="87"/>
      <c r="T1092" s="87"/>
      <c r="U1092" s="94" t="str">
        <f t="array" ref="U1092">IFERROR(INDEX(DFD!$D$2:$D$1048791,MATCH($Q1092,DFD!$B$2:$B$1048791,0)),"")</f>
        <v/>
      </c>
      <c r="V1092" s="94" t="str">
        <f t="array" ref="V1092">IFERROR(INDEX(DFD!$F$2:$F$1048791,MATCH($Q1092,DFD!$B$2:$B$1048791,0)),"")</f>
        <v/>
      </c>
      <c r="W1092" s="97" t="str">
        <f t="array" ref="W1092">IFERROR(INDEX(DFD!$E$2:$E$1048791,MATCH($Q1092,DFD!$B$2:$B$1048791,0)),"")</f>
        <v/>
      </c>
      <c r="X1092" s="97" t="str">
        <f t="array" ref="X1092">IFERROR(INDEX(DFD!$K$2:$K$1048791,MATCH($Q1092,DFD!$B$2:$B$1048791,0)),"")</f>
        <v/>
      </c>
      <c r="Y1092" s="97" t="str">
        <f t="array" ref="Y1092">IFERROR(INDEX(DFD!$L$2:$L$1048790,MATCH($Q1092,DFD!$B$2:$B$1048790,0)),"")</f>
        <v/>
      </c>
      <c r="Z1092" s="97">
        <f t="shared" si="21"/>
        <v>45</v>
      </c>
      <c r="AA1092" s="87"/>
      <c r="AB1092" s="87" t="s">
        <v>78</v>
      </c>
      <c r="AC1092" s="87"/>
      <c r="AD1092" s="99">
        <v>46043.0</v>
      </c>
      <c r="AE1092" s="100">
        <f t="shared" si="19"/>
        <v>1</v>
      </c>
    </row>
    <row r="1093" ht="15.75" customHeight="1">
      <c r="A1093" s="68" t="s">
        <v>2842</v>
      </c>
      <c r="B1093" s="68" t="s">
        <v>94</v>
      </c>
      <c r="C1093" s="61" t="s">
        <v>941</v>
      </c>
      <c r="D1093" s="61" t="s">
        <v>51</v>
      </c>
      <c r="E1093" s="61">
        <v>10.0</v>
      </c>
      <c r="F1093" s="186">
        <v>800.0</v>
      </c>
      <c r="G1093" s="64" t="s">
        <v>53</v>
      </c>
      <c r="H1093" s="65">
        <v>46174.0</v>
      </c>
      <c r="I1093" s="66" t="s">
        <v>17</v>
      </c>
      <c r="J1093" s="66" t="s">
        <v>54</v>
      </c>
      <c r="K1093" s="66" t="s">
        <v>66</v>
      </c>
      <c r="L1093" s="66" t="s">
        <v>67</v>
      </c>
      <c r="M1093" s="64" t="s">
        <v>112</v>
      </c>
      <c r="N1093" s="66" t="s">
        <v>5</v>
      </c>
      <c r="O1093" s="68" t="s">
        <v>69</v>
      </c>
      <c r="P1093" s="68"/>
      <c r="Q1093" s="68" t="s">
        <v>1719</v>
      </c>
      <c r="R1093" s="187" t="s">
        <v>269</v>
      </c>
      <c r="S1093" s="68"/>
      <c r="T1093" s="68"/>
      <c r="U1093" s="70" t="str">
        <f t="array" ref="U1093">IFERROR(INDEX(DFD!$D$2:$D$1048791,MATCH($Q1093,DFD!$B$2:$B$1048791,0)),"")</f>
        <v/>
      </c>
      <c r="V1093" s="70" t="str">
        <f t="array" ref="V1093">IFERROR(INDEX(DFD!$F$2:$F$1048791,MATCH($Q1093,DFD!$B$2:$B$1048791,0)),"")</f>
        <v/>
      </c>
      <c r="W1093" s="75" t="str">
        <f t="array" ref="W1093">IFERROR(INDEX(DFD!$E$2:$E$1048791,MATCH($Q1093,DFD!$B$2:$B$1048791,0)),"")</f>
        <v/>
      </c>
      <c r="X1093" s="75" t="str">
        <f t="array" ref="X1093">IFERROR(INDEX(DFD!$K$2:$K$1048791,MATCH($Q1093,DFD!$B$2:$B$1048791,0)),"")</f>
        <v/>
      </c>
      <c r="Y1093" s="75" t="str">
        <f t="array" ref="Y1093">IFERROR(INDEX(DFD!$L$2:$L$1048790,MATCH($Q1093,DFD!$B$2:$B$1048790,0)),"")</f>
        <v/>
      </c>
      <c r="Z1093" s="75">
        <f t="shared" si="21"/>
        <v>45</v>
      </c>
      <c r="AA1093" s="68"/>
      <c r="AB1093" s="68" t="s">
        <v>78</v>
      </c>
      <c r="AC1093" s="68"/>
      <c r="AD1093" s="78">
        <v>46043.0</v>
      </c>
      <c r="AE1093" s="3">
        <f t="shared" si="19"/>
        <v>1</v>
      </c>
    </row>
    <row r="1094" ht="15.75" customHeight="1">
      <c r="A1094" s="87" t="s">
        <v>2843</v>
      </c>
      <c r="B1094" s="87" t="s">
        <v>277</v>
      </c>
      <c r="C1094" s="88" t="s">
        <v>2844</v>
      </c>
      <c r="D1094" s="88" t="s">
        <v>51</v>
      </c>
      <c r="E1094" s="88">
        <v>50.0</v>
      </c>
      <c r="F1094" s="89">
        <v>15000.0</v>
      </c>
      <c r="G1094" s="90" t="s">
        <v>53</v>
      </c>
      <c r="H1094" s="91">
        <v>46235.0</v>
      </c>
      <c r="I1094" s="92" t="s">
        <v>17</v>
      </c>
      <c r="J1094" s="92" t="s">
        <v>54</v>
      </c>
      <c r="K1094" s="92" t="s">
        <v>66</v>
      </c>
      <c r="L1094" s="92" t="s">
        <v>67</v>
      </c>
      <c r="M1094" s="90" t="s">
        <v>112</v>
      </c>
      <c r="N1094" s="92" t="s">
        <v>20</v>
      </c>
      <c r="O1094" s="92" t="s">
        <v>89</v>
      </c>
      <c r="P1094" s="87"/>
      <c r="Q1094" s="87" t="s">
        <v>1719</v>
      </c>
      <c r="R1094" s="93" t="s">
        <v>269</v>
      </c>
      <c r="S1094" s="87"/>
      <c r="T1094" s="87"/>
      <c r="U1094" s="94" t="str">
        <f t="array" ref="U1094">IFERROR(INDEX(DFD!$D$2:$D$1048791,MATCH($Q1094,DFD!$B$2:$B$1048791,0)),"")</f>
        <v/>
      </c>
      <c r="V1094" s="94" t="str">
        <f t="array" ref="V1094">IFERROR(INDEX(DFD!$F$2:$F$1048791,MATCH($Q1094,DFD!$B$2:$B$1048791,0)),"")</f>
        <v/>
      </c>
      <c r="W1094" s="97" t="str">
        <f t="array" ref="W1094">IFERROR(INDEX(DFD!$E$2:$E$1048791,MATCH($Q1094,DFD!$B$2:$B$1048791,0)),"")</f>
        <v/>
      </c>
      <c r="X1094" s="97" t="str">
        <f t="array" ref="X1094">IFERROR(INDEX(DFD!$K$2:$K$1048791,MATCH($Q1094,DFD!$B$2:$B$1048791,0)),"")</f>
        <v/>
      </c>
      <c r="Y1094" s="97" t="str">
        <f t="array" ref="Y1094">IFERROR(INDEX(DFD!$L$2:$L$1048790,MATCH($Q1094,DFD!$B$2:$B$1048790,0)),"")</f>
        <v/>
      </c>
      <c r="Z1094" s="97">
        <f t="shared" si="21"/>
        <v>45</v>
      </c>
      <c r="AA1094" s="87"/>
      <c r="AB1094" s="87" t="s">
        <v>78</v>
      </c>
      <c r="AC1094" s="87"/>
      <c r="AD1094" s="99">
        <v>46043.0</v>
      </c>
      <c r="AE1094" s="100">
        <f t="shared" si="19"/>
        <v>1</v>
      </c>
    </row>
    <row r="1095" ht="15.75" customHeight="1">
      <c r="A1095" s="66" t="s">
        <v>2845</v>
      </c>
      <c r="B1095" s="68" t="s">
        <v>184</v>
      </c>
      <c r="C1095" s="88" t="s">
        <v>2844</v>
      </c>
      <c r="D1095" s="88" t="s">
        <v>51</v>
      </c>
      <c r="E1095" s="88">
        <v>50.0</v>
      </c>
      <c r="F1095" s="89">
        <v>15000.0</v>
      </c>
      <c r="G1095" s="90" t="s">
        <v>53</v>
      </c>
      <c r="H1095" s="91">
        <v>46235.0</v>
      </c>
      <c r="I1095" s="66" t="s">
        <v>17</v>
      </c>
      <c r="J1095" s="66" t="s">
        <v>54</v>
      </c>
      <c r="K1095" s="66" t="s">
        <v>66</v>
      </c>
      <c r="L1095" s="66" t="s">
        <v>67</v>
      </c>
      <c r="M1095" s="64" t="s">
        <v>112</v>
      </c>
      <c r="N1095" s="66" t="s">
        <v>20</v>
      </c>
      <c r="O1095" s="68" t="s">
        <v>69</v>
      </c>
      <c r="P1095" s="68"/>
      <c r="Q1095" s="68" t="s">
        <v>1719</v>
      </c>
      <c r="R1095" s="187" t="s">
        <v>269</v>
      </c>
      <c r="S1095" s="68"/>
      <c r="T1095" s="68"/>
      <c r="U1095" s="70" t="str">
        <f t="array" ref="U1095">IFERROR(INDEX(DFD!$D$2:$D$1048791,MATCH($Q1095,DFD!$B$2:$B$1048791,0)),"")</f>
        <v/>
      </c>
      <c r="V1095" s="70" t="str">
        <f t="array" ref="V1095">IFERROR(INDEX(DFD!$F$2:$F$1048791,MATCH($Q1095,DFD!$B$2:$B$1048791,0)),"")</f>
        <v/>
      </c>
      <c r="W1095" s="75" t="str">
        <f t="array" ref="W1095">IFERROR(INDEX(DFD!$E$2:$E$1048791,MATCH($Q1095,DFD!$B$2:$B$1048791,0)),"")</f>
        <v/>
      </c>
      <c r="X1095" s="75" t="str">
        <f t="array" ref="X1095">IFERROR(INDEX(DFD!$K$2:$K$1048791,MATCH($Q1095,DFD!$B$2:$B$1048791,0)),"")</f>
        <v/>
      </c>
      <c r="Y1095" s="75" t="str">
        <f t="array" ref="Y1095">IFERROR(INDEX(DFD!$L$2:$L$1048790,MATCH($Q1095,DFD!$B$2:$B$1048790,0)),"")</f>
        <v/>
      </c>
      <c r="Z1095" s="75">
        <f t="shared" si="21"/>
        <v>45</v>
      </c>
      <c r="AA1095" s="68"/>
      <c r="AB1095" s="68" t="s">
        <v>78</v>
      </c>
      <c r="AC1095" s="68"/>
      <c r="AD1095" s="78">
        <v>46043.0</v>
      </c>
      <c r="AE1095" s="3">
        <f t="shared" si="19"/>
        <v>1</v>
      </c>
    </row>
    <row r="1096" ht="15.75" customHeight="1">
      <c r="A1096" s="68" t="s">
        <v>2846</v>
      </c>
      <c r="B1096" s="68" t="s">
        <v>52</v>
      </c>
      <c r="C1096" s="61" t="s">
        <v>2847</v>
      </c>
      <c r="D1096" s="61" t="s">
        <v>51</v>
      </c>
      <c r="E1096" s="61">
        <v>5000.0</v>
      </c>
      <c r="F1096" s="186">
        <v>75750.0</v>
      </c>
      <c r="G1096" s="64" t="s">
        <v>437</v>
      </c>
      <c r="H1096" s="65">
        <v>46266.0</v>
      </c>
      <c r="I1096" s="66" t="s">
        <v>17</v>
      </c>
      <c r="J1096" s="66" t="s">
        <v>54</v>
      </c>
      <c r="K1096" s="66" t="s">
        <v>66</v>
      </c>
      <c r="L1096" s="66" t="s">
        <v>56</v>
      </c>
      <c r="M1096" s="64" t="s">
        <v>104</v>
      </c>
      <c r="N1096" s="66" t="s">
        <v>58</v>
      </c>
      <c r="O1096" s="68" t="s">
        <v>69</v>
      </c>
      <c r="P1096" s="68"/>
      <c r="Q1096" s="68" t="s">
        <v>52</v>
      </c>
      <c r="R1096" s="187" t="s">
        <v>1070</v>
      </c>
      <c r="S1096" s="68"/>
      <c r="T1096" s="68"/>
      <c r="U1096" s="70" t="str">
        <f t="array" ref="U1096">IFERROR(INDEX(DFD!$D$2:$D$1048791,MATCH($Q1096,DFD!$B$2:$B$1048791,0)),"")</f>
        <v/>
      </c>
      <c r="V1096" s="70" t="str">
        <f t="array" ref="V1096">IFERROR(INDEX(DFD!$F$2:$F$1048791,MATCH($Q1096,DFD!$B$2:$B$1048791,0)),"")</f>
        <v/>
      </c>
      <c r="W1096" s="75" t="str">
        <f t="array" ref="W1096">IFERROR(INDEX(DFD!$E$2:$E$1048791,MATCH($Q1096,DFD!$B$2:$B$1048791,0)),"")</f>
        <v/>
      </c>
      <c r="X1096" s="75" t="str">
        <f t="array" ref="X1096">IFERROR(INDEX(DFD!$K$2:$K$1048791,MATCH($Q1096,DFD!$B$2:$B$1048791,0)),"")</f>
        <v/>
      </c>
      <c r="Y1096" s="75" t="str">
        <f t="array" ref="Y1096">IFERROR(INDEX(DFD!$L$2:$L$1048790,MATCH($Q1096,DFD!$B$2:$B$1048790,0)),"")</f>
        <v/>
      </c>
      <c r="Z1096" s="75">
        <f t="shared" si="21"/>
        <v>45</v>
      </c>
      <c r="AA1096" s="68"/>
      <c r="AB1096" s="68" t="s">
        <v>72</v>
      </c>
      <c r="AC1096" s="68"/>
      <c r="AD1096" s="78">
        <v>46043.0</v>
      </c>
      <c r="AE1096" s="3">
        <f t="shared" si="19"/>
        <v>1</v>
      </c>
    </row>
    <row r="1097" ht="15.75" customHeight="1">
      <c r="A1097" s="87" t="s">
        <v>2848</v>
      </c>
      <c r="B1097" s="87" t="s">
        <v>355</v>
      </c>
      <c r="C1097" s="88" t="s">
        <v>2849</v>
      </c>
      <c r="D1097" s="88" t="s">
        <v>51</v>
      </c>
      <c r="E1097" s="88">
        <v>10.0</v>
      </c>
      <c r="F1097" s="89">
        <v>400.0</v>
      </c>
      <c r="G1097" s="90" t="s">
        <v>53</v>
      </c>
      <c r="H1097" s="91">
        <v>46174.0</v>
      </c>
      <c r="I1097" s="92" t="s">
        <v>17</v>
      </c>
      <c r="J1097" s="92" t="s">
        <v>54</v>
      </c>
      <c r="K1097" s="92" t="s">
        <v>66</v>
      </c>
      <c r="L1097" s="92" t="s">
        <v>56</v>
      </c>
      <c r="M1097" s="90" t="s">
        <v>104</v>
      </c>
      <c r="N1097" s="92" t="s">
        <v>58</v>
      </c>
      <c r="O1097" s="92" t="s">
        <v>89</v>
      </c>
      <c r="P1097" s="87"/>
      <c r="Q1097" s="87" t="s">
        <v>118</v>
      </c>
      <c r="R1097" s="93" t="s">
        <v>181</v>
      </c>
      <c r="S1097" s="87"/>
      <c r="T1097" s="87"/>
      <c r="U1097" s="94" t="str">
        <f t="array" ref="U1097">IFERROR(INDEX(DFD!$D$2:$D$1048791,MATCH($Q1097,DFD!$B$2:$B$1048791,0)),"")</f>
        <v/>
      </c>
      <c r="V1097" s="94" t="str">
        <f t="array" ref="V1097">IFERROR(INDEX(DFD!$F$2:$F$1048791,MATCH($Q1097,DFD!$B$2:$B$1048791,0)),"")</f>
        <v/>
      </c>
      <c r="W1097" s="97" t="str">
        <f t="array" ref="W1097">IFERROR(INDEX(DFD!$E$2:$E$1048791,MATCH($Q1097,DFD!$B$2:$B$1048791,0)),"")</f>
        <v/>
      </c>
      <c r="X1097" s="97" t="str">
        <f t="array" ref="X1097">IFERROR(INDEX(DFD!$K$2:$K$1048791,MATCH($Q1097,DFD!$B$2:$B$1048791,0)),"")</f>
        <v/>
      </c>
      <c r="Y1097" s="97" t="str">
        <f t="array" ref="Y1097">IFERROR(INDEX(DFD!$L$2:$L$1048790,MATCH($Q1097,DFD!$B$2:$B$1048790,0)),"")</f>
        <v/>
      </c>
      <c r="Z1097" s="97">
        <f t="shared" si="21"/>
        <v>45</v>
      </c>
      <c r="AA1097" s="87"/>
      <c r="AB1097" s="87" t="s">
        <v>78</v>
      </c>
      <c r="AC1097" s="87"/>
      <c r="AD1097" s="99">
        <v>46043.0</v>
      </c>
      <c r="AE1097" s="100">
        <f t="shared" si="19"/>
        <v>1</v>
      </c>
    </row>
    <row r="1098" ht="15.75" customHeight="1">
      <c r="A1098" s="68" t="s">
        <v>2850</v>
      </c>
      <c r="B1098" s="68" t="s">
        <v>101</v>
      </c>
      <c r="C1098" s="88" t="s">
        <v>2849</v>
      </c>
      <c r="D1098" s="61" t="s">
        <v>51</v>
      </c>
      <c r="E1098" s="61">
        <v>3.0</v>
      </c>
      <c r="F1098" s="186">
        <v>120.0</v>
      </c>
      <c r="G1098" s="64" t="s">
        <v>53</v>
      </c>
      <c r="H1098" s="65">
        <v>46143.0</v>
      </c>
      <c r="I1098" s="66" t="s">
        <v>17</v>
      </c>
      <c r="J1098" s="66" t="s">
        <v>54</v>
      </c>
      <c r="K1098" s="66" t="s">
        <v>66</v>
      </c>
      <c r="L1098" s="66" t="s">
        <v>56</v>
      </c>
      <c r="M1098" s="64" t="s">
        <v>132</v>
      </c>
      <c r="N1098" s="66" t="s">
        <v>58</v>
      </c>
      <c r="O1098" s="68" t="s">
        <v>69</v>
      </c>
      <c r="P1098" s="68"/>
      <c r="Q1098" s="68" t="s">
        <v>118</v>
      </c>
      <c r="R1098" s="187" t="s">
        <v>181</v>
      </c>
      <c r="S1098" s="68"/>
      <c r="T1098" s="68"/>
      <c r="U1098" s="70" t="str">
        <f t="array" ref="U1098">IFERROR(INDEX(DFD!$D$2:$D$1048791,MATCH($Q1098,DFD!$B$2:$B$1048791,0)),"")</f>
        <v/>
      </c>
      <c r="V1098" s="70" t="str">
        <f t="array" ref="V1098">IFERROR(INDEX(DFD!$F$2:$F$1048791,MATCH($Q1098,DFD!$B$2:$B$1048791,0)),"")</f>
        <v/>
      </c>
      <c r="W1098" s="75" t="str">
        <f t="array" ref="W1098">IFERROR(INDEX(DFD!$E$2:$E$1048791,MATCH($Q1098,DFD!$B$2:$B$1048791,0)),"")</f>
        <v/>
      </c>
      <c r="X1098" s="75" t="str">
        <f t="array" ref="X1098">IFERROR(INDEX(DFD!$K$2:$K$1048791,MATCH($Q1098,DFD!$B$2:$B$1048791,0)),"")</f>
        <v/>
      </c>
      <c r="Y1098" s="75" t="str">
        <f t="array" ref="Y1098">IFERROR(INDEX(DFD!$L$2:$L$1048790,MATCH($Q1098,DFD!$B$2:$B$1048790,0)),"")</f>
        <v/>
      </c>
      <c r="Z1098" s="75">
        <f t="shared" si="21"/>
        <v>45</v>
      </c>
      <c r="AA1098" s="68"/>
      <c r="AB1098" s="68" t="s">
        <v>78</v>
      </c>
      <c r="AC1098" s="68"/>
      <c r="AD1098" s="78">
        <v>46043.0</v>
      </c>
      <c r="AE1098" s="3">
        <f t="shared" si="19"/>
        <v>1</v>
      </c>
    </row>
    <row r="1099" ht="15.75" customHeight="1">
      <c r="A1099" s="66" t="s">
        <v>2851</v>
      </c>
      <c r="B1099" s="68" t="s">
        <v>184</v>
      </c>
      <c r="C1099" s="61" t="s">
        <v>2852</v>
      </c>
      <c r="D1099" s="61" t="s">
        <v>51</v>
      </c>
      <c r="E1099" s="61">
        <v>20.0</v>
      </c>
      <c r="F1099" s="186">
        <v>190.0</v>
      </c>
      <c r="G1099" s="64" t="s">
        <v>53</v>
      </c>
      <c r="H1099" s="65">
        <v>46143.0</v>
      </c>
      <c r="I1099" s="66" t="s">
        <v>17</v>
      </c>
      <c r="J1099" s="66" t="s">
        <v>54</v>
      </c>
      <c r="K1099" s="66" t="s">
        <v>66</v>
      </c>
      <c r="L1099" s="66" t="s">
        <v>67</v>
      </c>
      <c r="M1099" s="64" t="s">
        <v>104</v>
      </c>
      <c r="N1099" s="66" t="s">
        <v>20</v>
      </c>
      <c r="O1099" s="68" t="s">
        <v>69</v>
      </c>
      <c r="P1099" s="68"/>
      <c r="Q1099" s="68" t="s">
        <v>113</v>
      </c>
      <c r="R1099" s="187" t="s">
        <v>503</v>
      </c>
      <c r="S1099" s="68"/>
      <c r="T1099" s="68"/>
      <c r="U1099" s="70" t="str">
        <f t="array" ref="U1099">IFERROR(INDEX(DFD!$D$2:$D$1048791,MATCH($Q1099,DFD!$B$2:$B$1048791,0)),"")</f>
        <v/>
      </c>
      <c r="V1099" s="70" t="str">
        <f t="array" ref="V1099">IFERROR(INDEX(DFD!$F$2:$F$1048791,MATCH($Q1099,DFD!$B$2:$B$1048791,0)),"")</f>
        <v/>
      </c>
      <c r="W1099" s="75" t="str">
        <f t="array" ref="W1099">IFERROR(INDEX(DFD!$E$2:$E$1048791,MATCH($Q1099,DFD!$B$2:$B$1048791,0)),"")</f>
        <v/>
      </c>
      <c r="X1099" s="75" t="str">
        <f t="array" ref="X1099">IFERROR(INDEX(DFD!$K$2:$K$1048791,MATCH($Q1099,DFD!$B$2:$B$1048791,0)),"")</f>
        <v/>
      </c>
      <c r="Y1099" s="75" t="str">
        <f t="array" ref="Y1099">IFERROR(INDEX(DFD!$L$2:$L$1048790,MATCH($Q1099,DFD!$B$2:$B$1048790,0)),"")</f>
        <v/>
      </c>
      <c r="Z1099" s="75">
        <f t="shared" si="21"/>
        <v>45</v>
      </c>
      <c r="AA1099" s="68" t="s">
        <v>746</v>
      </c>
      <c r="AB1099" s="68" t="s">
        <v>78</v>
      </c>
      <c r="AC1099" s="68"/>
      <c r="AD1099" s="78">
        <v>46043.0</v>
      </c>
      <c r="AE1099" s="3">
        <f t="shared" si="19"/>
        <v>1</v>
      </c>
    </row>
    <row r="1100" ht="15.75" customHeight="1">
      <c r="A1100" s="92" t="s">
        <v>2853</v>
      </c>
      <c r="B1100" s="87" t="s">
        <v>184</v>
      </c>
      <c r="C1100" s="88" t="s">
        <v>2854</v>
      </c>
      <c r="D1100" s="88" t="s">
        <v>51</v>
      </c>
      <c r="E1100" s="88">
        <v>20.0</v>
      </c>
      <c r="F1100" s="89">
        <v>250.0</v>
      </c>
      <c r="G1100" s="90" t="s">
        <v>53</v>
      </c>
      <c r="H1100" s="91">
        <v>46143.0</v>
      </c>
      <c r="I1100" s="92" t="s">
        <v>17</v>
      </c>
      <c r="J1100" s="92" t="s">
        <v>54</v>
      </c>
      <c r="K1100" s="92" t="s">
        <v>66</v>
      </c>
      <c r="L1100" s="92" t="s">
        <v>67</v>
      </c>
      <c r="M1100" s="90" t="s">
        <v>104</v>
      </c>
      <c r="N1100" s="92" t="s">
        <v>20</v>
      </c>
      <c r="O1100" s="92" t="s">
        <v>89</v>
      </c>
      <c r="P1100" s="87"/>
      <c r="Q1100" s="87" t="s">
        <v>113</v>
      </c>
      <c r="R1100" s="93" t="s">
        <v>503</v>
      </c>
      <c r="S1100" s="87"/>
      <c r="T1100" s="87"/>
      <c r="U1100" s="94" t="str">
        <f t="array" ref="U1100">IFERROR(INDEX(DFD!$D$2:$D$1048791,MATCH($Q1100,DFD!$B$2:$B$1048791,0)),"")</f>
        <v/>
      </c>
      <c r="V1100" s="94" t="str">
        <f t="array" ref="V1100">IFERROR(INDEX(DFD!$F$2:$F$1048791,MATCH($Q1100,DFD!$B$2:$B$1048791,0)),"")</f>
        <v/>
      </c>
      <c r="W1100" s="97" t="str">
        <f t="array" ref="W1100">IFERROR(INDEX(DFD!$E$2:$E$1048791,MATCH($Q1100,DFD!$B$2:$B$1048791,0)),"")</f>
        <v/>
      </c>
      <c r="X1100" s="97" t="str">
        <f t="array" ref="X1100">IFERROR(INDEX(DFD!$K$2:$K$1048791,MATCH($Q1100,DFD!$B$2:$B$1048791,0)),"")</f>
        <v/>
      </c>
      <c r="Y1100" s="97" t="str">
        <f t="array" ref="Y1100">IFERROR(INDEX(DFD!$L$2:$L$1048790,MATCH($Q1100,DFD!$B$2:$B$1048790,0)),"")</f>
        <v/>
      </c>
      <c r="Z1100" s="97">
        <f t="shared" si="21"/>
        <v>45</v>
      </c>
      <c r="AA1100" s="87" t="s">
        <v>746</v>
      </c>
      <c r="AB1100" s="87" t="s">
        <v>78</v>
      </c>
      <c r="AC1100" s="87"/>
      <c r="AD1100" s="99">
        <v>46043.0</v>
      </c>
      <c r="AE1100" s="100">
        <f t="shared" si="19"/>
        <v>1</v>
      </c>
    </row>
    <row r="1101" ht="15.75" customHeight="1">
      <c r="A1101" s="59" t="s">
        <v>2855</v>
      </c>
      <c r="B1101" s="59" t="s">
        <v>148</v>
      </c>
      <c r="C1101" s="60" t="s">
        <v>2856</v>
      </c>
      <c r="D1101" s="60" t="s">
        <v>51</v>
      </c>
      <c r="E1101" s="60">
        <v>12.0</v>
      </c>
      <c r="F1101" s="72">
        <v>120.0</v>
      </c>
      <c r="G1101" s="73" t="s">
        <v>53</v>
      </c>
      <c r="H1101" s="74">
        <v>46143.0</v>
      </c>
      <c r="I1101" s="67" t="s">
        <v>17</v>
      </c>
      <c r="J1101" s="67" t="s">
        <v>54</v>
      </c>
      <c r="K1101" s="67" t="s">
        <v>66</v>
      </c>
      <c r="L1101" s="67" t="s">
        <v>67</v>
      </c>
      <c r="M1101" s="73" t="s">
        <v>132</v>
      </c>
      <c r="N1101" s="67" t="s">
        <v>5</v>
      </c>
      <c r="O1101" s="59" t="s">
        <v>69</v>
      </c>
      <c r="P1101" s="59"/>
      <c r="Q1101" s="59" t="s">
        <v>576</v>
      </c>
      <c r="R1101" s="76" t="s">
        <v>577</v>
      </c>
      <c r="S1101" s="59"/>
      <c r="T1101" s="59"/>
      <c r="U1101" s="77" t="str">
        <f t="array" ref="U1101">IFERROR(INDEX(DFD!$D$2:$D$1048791,MATCH($Q1101,DFD!$B$2:$B$1048791,0)),"")</f>
        <v/>
      </c>
      <c r="V1101" s="77" t="s">
        <v>280</v>
      </c>
      <c r="W1101" s="84" t="str">
        <f t="array" ref="W1101">IFERROR(INDEX(DFD!$E$2:$E$1048791,MATCH($Q1101,DFD!$B$2:$B$1048791,0)),"")</f>
        <v/>
      </c>
      <c r="X1101" s="84" t="str">
        <f t="array" ref="X1101">IFERROR(INDEX(DFD!$K$2:$K$1048791,MATCH($Q1101,DFD!$B$2:$B$1048791,0)),"")</f>
        <v/>
      </c>
      <c r="Y1101" s="84" t="str">
        <f t="array" ref="Y1101">IFERROR(INDEX(DFD!$L$2:$L$1048790,MATCH($Q1101,DFD!$B$2:$B$1048790,0)),"")</f>
        <v/>
      </c>
      <c r="Z1101" s="84">
        <f t="shared" si="21"/>
        <v>45</v>
      </c>
      <c r="AA1101" s="59"/>
      <c r="AB1101" s="59" t="s">
        <v>78</v>
      </c>
      <c r="AC1101" s="59"/>
      <c r="AD1101" s="85">
        <v>46043.0</v>
      </c>
      <c r="AE1101" s="86">
        <f t="shared" si="19"/>
        <v>1</v>
      </c>
    </row>
    <row r="1102" ht="15.75" customHeight="1">
      <c r="A1102" s="87" t="s">
        <v>2857</v>
      </c>
      <c r="B1102" s="87" t="s">
        <v>148</v>
      </c>
      <c r="C1102" s="88" t="s">
        <v>2858</v>
      </c>
      <c r="D1102" s="88" t="s">
        <v>51</v>
      </c>
      <c r="E1102" s="88">
        <v>12.0</v>
      </c>
      <c r="F1102" s="89">
        <v>120.0</v>
      </c>
      <c r="G1102" s="90" t="s">
        <v>53</v>
      </c>
      <c r="H1102" s="91">
        <v>46143.0</v>
      </c>
      <c r="I1102" s="92" t="s">
        <v>17</v>
      </c>
      <c r="J1102" s="92" t="s">
        <v>54</v>
      </c>
      <c r="K1102" s="92" t="s">
        <v>66</v>
      </c>
      <c r="L1102" s="92" t="s">
        <v>67</v>
      </c>
      <c r="M1102" s="90" t="s">
        <v>104</v>
      </c>
      <c r="N1102" s="92" t="s">
        <v>5</v>
      </c>
      <c r="O1102" s="87" t="s">
        <v>69</v>
      </c>
      <c r="P1102" s="87"/>
      <c r="Q1102" s="87" t="s">
        <v>576</v>
      </c>
      <c r="R1102" s="93" t="s">
        <v>577</v>
      </c>
      <c r="S1102" s="87"/>
      <c r="T1102" s="87"/>
      <c r="U1102" s="94" t="str">
        <f t="array" ref="U1102">IFERROR(INDEX(DFD!$D$2:$D$1048791,MATCH($Q1102,DFD!$B$2:$B$1048791,0)),"")</f>
        <v/>
      </c>
      <c r="V1102" s="94" t="s">
        <v>280</v>
      </c>
      <c r="W1102" s="97" t="str">
        <f t="array" ref="W1102">IFERROR(INDEX(DFD!$E$2:$E$1048791,MATCH($Q1102,DFD!$B$2:$B$1048791,0)),"")</f>
        <v/>
      </c>
      <c r="X1102" s="97" t="str">
        <f t="array" ref="X1102">IFERROR(INDEX(DFD!$K$2:$K$1048791,MATCH($Q1102,DFD!$B$2:$B$1048791,0)),"")</f>
        <v/>
      </c>
      <c r="Y1102" s="97" t="str">
        <f t="array" ref="Y1102">IFERROR(INDEX(DFD!$L$2:$L$1048790,MATCH($Q1102,DFD!$B$2:$B$1048790,0)),"")</f>
        <v/>
      </c>
      <c r="Z1102" s="97">
        <f t="shared" si="21"/>
        <v>45</v>
      </c>
      <c r="AA1102" s="87"/>
      <c r="AB1102" s="87" t="s">
        <v>78</v>
      </c>
      <c r="AC1102" s="87"/>
      <c r="AD1102" s="99">
        <v>46043.0</v>
      </c>
      <c r="AE1102" s="100">
        <f t="shared" si="19"/>
        <v>1</v>
      </c>
    </row>
    <row r="1103" ht="15.75" customHeight="1">
      <c r="A1103" s="87" t="s">
        <v>2859</v>
      </c>
      <c r="B1103" s="87" t="s">
        <v>148</v>
      </c>
      <c r="C1103" s="88" t="s">
        <v>2860</v>
      </c>
      <c r="D1103" s="88" t="s">
        <v>51</v>
      </c>
      <c r="E1103" s="88">
        <v>12.0</v>
      </c>
      <c r="F1103" s="89">
        <v>120.0</v>
      </c>
      <c r="G1103" s="90" t="s">
        <v>53</v>
      </c>
      <c r="H1103" s="91">
        <v>46143.0</v>
      </c>
      <c r="I1103" s="92" t="s">
        <v>17</v>
      </c>
      <c r="J1103" s="92" t="s">
        <v>54</v>
      </c>
      <c r="K1103" s="92" t="s">
        <v>66</v>
      </c>
      <c r="L1103" s="92" t="s">
        <v>67</v>
      </c>
      <c r="M1103" s="90" t="s">
        <v>104</v>
      </c>
      <c r="N1103" s="92" t="s">
        <v>5</v>
      </c>
      <c r="O1103" s="92" t="s">
        <v>89</v>
      </c>
      <c r="P1103" s="87"/>
      <c r="Q1103" s="87" t="s">
        <v>576</v>
      </c>
      <c r="R1103" s="93" t="s">
        <v>577</v>
      </c>
      <c r="S1103" s="87"/>
      <c r="T1103" s="87"/>
      <c r="U1103" s="94" t="str">
        <f t="array" ref="U1103">IFERROR(INDEX(DFD!$D$2:$D$1048791,MATCH($Q1103,DFD!$B$2:$B$1048791,0)),"")</f>
        <v/>
      </c>
      <c r="V1103" s="94" t="s">
        <v>280</v>
      </c>
      <c r="W1103" s="97" t="str">
        <f t="array" ref="W1103">IFERROR(INDEX(DFD!$E$2:$E$1048791,MATCH($Q1103,DFD!$B$2:$B$1048791,0)),"")</f>
        <v/>
      </c>
      <c r="X1103" s="97" t="str">
        <f t="array" ref="X1103">IFERROR(INDEX(DFD!$K$2:$K$1048791,MATCH($Q1103,DFD!$B$2:$B$1048791,0)),"")</f>
        <v/>
      </c>
      <c r="Y1103" s="97" t="str">
        <f t="array" ref="Y1103">IFERROR(INDEX(DFD!$L$2:$L$1048790,MATCH($Q1103,DFD!$B$2:$B$1048790,0)),"")</f>
        <v/>
      </c>
      <c r="Z1103" s="97">
        <f t="shared" si="21"/>
        <v>45</v>
      </c>
      <c r="AA1103" s="87"/>
      <c r="AB1103" s="87" t="s">
        <v>78</v>
      </c>
      <c r="AC1103" s="87"/>
      <c r="AD1103" s="99">
        <v>46043.0</v>
      </c>
      <c r="AE1103" s="100">
        <f t="shared" si="19"/>
        <v>1</v>
      </c>
    </row>
    <row r="1104" ht="15.75" customHeight="1">
      <c r="A1104" s="87" t="s">
        <v>2861</v>
      </c>
      <c r="B1104" s="87" t="s">
        <v>105</v>
      </c>
      <c r="C1104" s="88" t="s">
        <v>2862</v>
      </c>
      <c r="D1104" s="88" t="s">
        <v>51</v>
      </c>
      <c r="E1104" s="88">
        <v>1.0</v>
      </c>
      <c r="F1104" s="89">
        <v>2000.0</v>
      </c>
      <c r="G1104" s="90" t="s">
        <v>53</v>
      </c>
      <c r="H1104" s="91">
        <v>46174.0</v>
      </c>
      <c r="I1104" s="92" t="s">
        <v>17</v>
      </c>
      <c r="J1104" s="92" t="s">
        <v>54</v>
      </c>
      <c r="K1104" s="92" t="s">
        <v>66</v>
      </c>
      <c r="L1104" s="92" t="s">
        <v>67</v>
      </c>
      <c r="M1104" s="90" t="s">
        <v>112</v>
      </c>
      <c r="N1104" s="92" t="s">
        <v>5</v>
      </c>
      <c r="O1104" s="87" t="s">
        <v>69</v>
      </c>
      <c r="P1104" s="87"/>
      <c r="Q1104" s="87" t="s">
        <v>689</v>
      </c>
      <c r="R1104" s="93" t="s">
        <v>442</v>
      </c>
      <c r="S1104" s="87"/>
      <c r="T1104" s="87"/>
      <c r="U1104" s="94" t="str">
        <f t="array" ref="U1104">IFERROR(INDEX(DFD!$D$2:$D$1048791,MATCH($Q1104,DFD!$B$2:$B$1048791,0)),"")</f>
        <v/>
      </c>
      <c r="V1104" s="94" t="s">
        <v>280</v>
      </c>
      <c r="W1104" s="97" t="str">
        <f t="array" ref="W1104">IFERROR(INDEX(DFD!$E$2:$E$1048791,MATCH($Q1104,DFD!$B$2:$B$1048791,0)),"")</f>
        <v/>
      </c>
      <c r="X1104" s="97" t="str">
        <f t="array" ref="X1104">IFERROR(INDEX(DFD!$K$2:$K$1048791,MATCH($Q1104,DFD!$B$2:$B$1048791,0)),"")</f>
        <v/>
      </c>
      <c r="Y1104" s="97" t="str">
        <f t="array" ref="Y1104">IFERROR(INDEX(DFD!$L$2:$L$1048790,MATCH($Q1104,DFD!$B$2:$B$1048790,0)),"")</f>
        <v/>
      </c>
      <c r="Z1104" s="97">
        <f t="shared" si="21"/>
        <v>45</v>
      </c>
      <c r="AA1104" s="87"/>
      <c r="AB1104" s="87" t="s">
        <v>78</v>
      </c>
      <c r="AC1104" s="87"/>
      <c r="AD1104" s="99">
        <v>46043.0</v>
      </c>
      <c r="AE1104" s="100">
        <f t="shared" si="19"/>
        <v>1</v>
      </c>
    </row>
    <row r="1105" ht="15.75" customHeight="1">
      <c r="A1105" s="59" t="s">
        <v>2863</v>
      </c>
      <c r="B1105" s="59" t="s">
        <v>105</v>
      </c>
      <c r="C1105" s="60" t="s">
        <v>2864</v>
      </c>
      <c r="D1105" s="60" t="s">
        <v>51</v>
      </c>
      <c r="E1105" s="60">
        <v>3.0</v>
      </c>
      <c r="F1105" s="72">
        <v>450.0</v>
      </c>
      <c r="G1105" s="73" t="s">
        <v>53</v>
      </c>
      <c r="H1105" s="74">
        <v>46174.0</v>
      </c>
      <c r="I1105" s="67" t="s">
        <v>17</v>
      </c>
      <c r="J1105" s="67" t="s">
        <v>54</v>
      </c>
      <c r="K1105" s="67" t="s">
        <v>66</v>
      </c>
      <c r="L1105" s="67" t="s">
        <v>67</v>
      </c>
      <c r="M1105" s="73" t="s">
        <v>57</v>
      </c>
      <c r="N1105" s="67" t="s">
        <v>5</v>
      </c>
      <c r="O1105" s="59" t="s">
        <v>69</v>
      </c>
      <c r="P1105" s="59"/>
      <c r="Q1105" s="59" t="s">
        <v>214</v>
      </c>
      <c r="R1105" s="76" t="s">
        <v>373</v>
      </c>
      <c r="S1105" s="59"/>
      <c r="T1105" s="59"/>
      <c r="U1105" s="77" t="str">
        <f t="array" ref="U1105">IFERROR(INDEX(DFD!$D$2:$D$1048791,MATCH($Q1105,DFD!$B$2:$B$1048791,0)),"")</f>
        <v/>
      </c>
      <c r="V1105" s="77" t="str">
        <f t="array" ref="V1105">IFERROR(INDEX(DFD!$F$2:$F$1048791,MATCH($Q1105,DFD!$B$2:$B$1048791,0)),"")</f>
        <v/>
      </c>
      <c r="W1105" s="84" t="str">
        <f t="array" ref="W1105">IFERROR(INDEX(DFD!$E$2:$E$1048791,MATCH($Q1105,DFD!$B$2:$B$1048791,0)),"")</f>
        <v/>
      </c>
      <c r="X1105" s="84" t="str">
        <f t="array" ref="X1105">IFERROR(INDEX(DFD!$K$2:$K$1048791,MATCH($Q1105,DFD!$B$2:$B$1048791,0)),"")</f>
        <v/>
      </c>
      <c r="Y1105" s="84" t="str">
        <f t="array" ref="Y1105">IFERROR(INDEX(DFD!$L$2:$L$1048790,MATCH($Q1105,DFD!$B$2:$B$1048790,0)),"")</f>
        <v/>
      </c>
      <c r="Z1105" s="84">
        <f t="shared" si="21"/>
        <v>45</v>
      </c>
      <c r="AA1105" s="59"/>
      <c r="AB1105" s="59" t="s">
        <v>78</v>
      </c>
      <c r="AC1105" s="59"/>
      <c r="AD1105" s="85">
        <v>46043.0</v>
      </c>
      <c r="AE1105" s="86">
        <f t="shared" si="19"/>
        <v>1</v>
      </c>
    </row>
    <row r="1106" ht="15.75" customHeight="1">
      <c r="A1106" s="87" t="s">
        <v>2865</v>
      </c>
      <c r="B1106" s="87" t="s">
        <v>174</v>
      </c>
      <c r="C1106" s="88" t="s">
        <v>2866</v>
      </c>
      <c r="D1106" s="88" t="s">
        <v>51</v>
      </c>
      <c r="E1106" s="88">
        <v>10.0</v>
      </c>
      <c r="F1106" s="89">
        <v>400.0</v>
      </c>
      <c r="G1106" s="90" t="s">
        <v>53</v>
      </c>
      <c r="H1106" s="91">
        <v>46174.0</v>
      </c>
      <c r="I1106" s="92" t="s">
        <v>17</v>
      </c>
      <c r="J1106" s="92" t="s">
        <v>54</v>
      </c>
      <c r="K1106" s="92" t="s">
        <v>66</v>
      </c>
      <c r="L1106" s="92" t="s">
        <v>67</v>
      </c>
      <c r="M1106" s="90" t="s">
        <v>112</v>
      </c>
      <c r="N1106" s="92" t="s">
        <v>5</v>
      </c>
      <c r="O1106" s="92" t="s">
        <v>89</v>
      </c>
      <c r="P1106" s="87"/>
      <c r="Q1106" s="87" t="s">
        <v>176</v>
      </c>
      <c r="R1106" s="93" t="s">
        <v>402</v>
      </c>
      <c r="S1106" s="87"/>
      <c r="T1106" s="87"/>
      <c r="U1106" s="94" t="str">
        <f t="array" ref="U1106">IFERROR(INDEX(DFD!$D$2:$D$1048791,MATCH($Q1106,DFD!$B$2:$B$1048791,0)),"")</f>
        <v/>
      </c>
      <c r="V1106" s="94" t="str">
        <f t="array" ref="V1106">IFERROR(INDEX(DFD!$F$2:$F$1048791,MATCH($Q1106,DFD!$B$2:$B$1048791,0)),"")</f>
        <v/>
      </c>
      <c r="W1106" s="97" t="str">
        <f t="array" ref="W1106">IFERROR(INDEX(DFD!$E$2:$E$1048791,MATCH($Q1106,DFD!$B$2:$B$1048791,0)),"")</f>
        <v/>
      </c>
      <c r="X1106" s="97" t="str">
        <f t="array" ref="X1106">IFERROR(INDEX(DFD!$K$2:$K$1048791,MATCH($Q1106,DFD!$B$2:$B$1048791,0)),"")</f>
        <v/>
      </c>
      <c r="Y1106" s="97" t="str">
        <f t="array" ref="Y1106">IFERROR(INDEX(DFD!$L$2:$L$1048790,MATCH($Q1106,DFD!$B$2:$B$1048790,0)),"")</f>
        <v/>
      </c>
      <c r="Z1106" s="97">
        <f t="shared" si="21"/>
        <v>45</v>
      </c>
      <c r="AA1106" s="87"/>
      <c r="AB1106" s="87" t="s">
        <v>78</v>
      </c>
      <c r="AC1106" s="87"/>
      <c r="AD1106" s="99">
        <v>46043.0</v>
      </c>
      <c r="AE1106" s="100">
        <f t="shared" si="19"/>
        <v>1</v>
      </c>
    </row>
    <row r="1107" ht="15.75" customHeight="1">
      <c r="A1107" s="67" t="s">
        <v>2867</v>
      </c>
      <c r="B1107" s="59" t="s">
        <v>184</v>
      </c>
      <c r="C1107" s="60" t="s">
        <v>2868</v>
      </c>
      <c r="D1107" s="81" t="s">
        <v>51</v>
      </c>
      <c r="E1107" s="81">
        <v>8.0</v>
      </c>
      <c r="F1107" s="72">
        <v>6400.0</v>
      </c>
      <c r="G1107" s="73" t="s">
        <v>53</v>
      </c>
      <c r="H1107" s="74">
        <v>46031.0</v>
      </c>
      <c r="I1107" s="67" t="s">
        <v>17</v>
      </c>
      <c r="J1107" s="67" t="s">
        <v>54</v>
      </c>
      <c r="K1107" s="67" t="s">
        <v>372</v>
      </c>
      <c r="L1107" s="67" t="s">
        <v>67</v>
      </c>
      <c r="M1107" s="73" t="s">
        <v>104</v>
      </c>
      <c r="N1107" s="67" t="s">
        <v>20</v>
      </c>
      <c r="O1107" s="59" t="s">
        <v>69</v>
      </c>
      <c r="P1107" s="59"/>
      <c r="Q1107" s="59" t="s">
        <v>2869</v>
      </c>
      <c r="R1107" s="76" t="s">
        <v>114</v>
      </c>
      <c r="S1107" s="59"/>
      <c r="T1107" s="59"/>
      <c r="U1107" s="188" t="s">
        <v>2870</v>
      </c>
      <c r="V1107" s="77" t="str">
        <f t="array" ref="V1107">IFERROR(INDEX(DFD!$F$2:$F$1048791,MATCH($Q1107,DFD!$B$2:$B$1048791,0)),"")</f>
        <v/>
      </c>
      <c r="W1107" s="84" t="str">
        <f t="array" ref="W1107">IFERROR(INDEX(DFD!$E$2:$E$1048791,MATCH($Q1107,DFD!$B$2:$B$1048791,0)),"")</f>
        <v/>
      </c>
      <c r="X1107" s="84" t="str">
        <f t="array" ref="X1107">IFERROR(INDEX(DFD!$K$2:$K$1048791,MATCH($Q1107,DFD!$B$2:$B$1048791,0)),"")</f>
        <v/>
      </c>
      <c r="Y1107" s="84" t="str">
        <f t="array" ref="Y1107">IFERROR(INDEX(DFD!$L$2:$L$1048790,MATCH($Q1107,DFD!$B$2:$B$1048790,0)),"")</f>
        <v/>
      </c>
      <c r="Z1107" s="84">
        <f t="shared" si="21"/>
        <v>45</v>
      </c>
      <c r="AA1107" s="59" t="s">
        <v>746</v>
      </c>
      <c r="AB1107" s="59" t="s">
        <v>78</v>
      </c>
      <c r="AC1107" s="59"/>
      <c r="AD1107" s="85">
        <v>46043.0</v>
      </c>
      <c r="AE1107" s="86">
        <f t="shared" si="19"/>
        <v>1</v>
      </c>
    </row>
    <row r="1108" ht="15.75" customHeight="1">
      <c r="A1108" s="92" t="s">
        <v>2871</v>
      </c>
      <c r="B1108" s="87" t="s">
        <v>184</v>
      </c>
      <c r="C1108" s="88" t="s">
        <v>2872</v>
      </c>
      <c r="D1108" s="88" t="s">
        <v>51</v>
      </c>
      <c r="E1108" s="88">
        <v>120.0</v>
      </c>
      <c r="F1108" s="89">
        <v>1592.4</v>
      </c>
      <c r="G1108" s="90" t="s">
        <v>53</v>
      </c>
      <c r="H1108" s="91">
        <v>46174.0</v>
      </c>
      <c r="I1108" s="92" t="s">
        <v>17</v>
      </c>
      <c r="J1108" s="92" t="s">
        <v>54</v>
      </c>
      <c r="K1108" s="92" t="s">
        <v>66</v>
      </c>
      <c r="L1108" s="92" t="s">
        <v>67</v>
      </c>
      <c r="M1108" s="90" t="s">
        <v>57</v>
      </c>
      <c r="N1108" s="92" t="s">
        <v>20</v>
      </c>
      <c r="O1108" s="87" t="s">
        <v>69</v>
      </c>
      <c r="P1108" s="87"/>
      <c r="Q1108" s="87" t="s">
        <v>1399</v>
      </c>
      <c r="R1108" s="93" t="s">
        <v>187</v>
      </c>
      <c r="S1108" s="87"/>
      <c r="T1108" s="87"/>
      <c r="U1108" s="94" t="str">
        <f t="array" ref="U1108">IFERROR(INDEX(DFD!$D$2:$D$1048791,MATCH($Q1108,DFD!$B$2:$B$1048791,0)),"")</f>
        <v/>
      </c>
      <c r="V1108" s="94" t="str">
        <f t="array" ref="V1108">IFERROR(INDEX(DFD!$F$2:$F$1048791,MATCH($Q1108,DFD!$B$2:$B$1048791,0)),"")</f>
        <v/>
      </c>
      <c r="W1108" s="97" t="str">
        <f t="array" ref="W1108">IFERROR(INDEX(DFD!$E$2:$E$1048791,MATCH($Q1108,DFD!$B$2:$B$1048791,0)),"")</f>
        <v/>
      </c>
      <c r="X1108" s="97" t="str">
        <f t="array" ref="X1108">IFERROR(INDEX(DFD!$K$2:$K$1048791,MATCH($Q1108,DFD!$B$2:$B$1048791,0)),"")</f>
        <v/>
      </c>
      <c r="Y1108" s="97" t="str">
        <f t="array" ref="Y1108">IFERROR(INDEX(DFD!$L$2:$L$1048790,MATCH($Q1108,DFD!$B$2:$B$1048790,0)),"")</f>
        <v/>
      </c>
      <c r="Z1108" s="97">
        <f t="shared" si="21"/>
        <v>45</v>
      </c>
      <c r="AA1108" s="87"/>
      <c r="AB1108" s="87" t="s">
        <v>78</v>
      </c>
      <c r="AC1108" s="87"/>
      <c r="AD1108" s="99">
        <v>46043.0</v>
      </c>
      <c r="AE1108" s="100">
        <f t="shared" si="19"/>
        <v>1</v>
      </c>
    </row>
    <row r="1109" ht="15.75" customHeight="1">
      <c r="A1109" s="92" t="s">
        <v>2873</v>
      </c>
      <c r="B1109" s="87" t="s">
        <v>184</v>
      </c>
      <c r="C1109" s="88" t="s">
        <v>2874</v>
      </c>
      <c r="D1109" s="88" t="s">
        <v>51</v>
      </c>
      <c r="E1109" s="88">
        <v>50.0</v>
      </c>
      <c r="F1109" s="89">
        <v>1211.0</v>
      </c>
      <c r="G1109" s="90" t="s">
        <v>53</v>
      </c>
      <c r="H1109" s="91">
        <v>46174.0</v>
      </c>
      <c r="I1109" s="92" t="s">
        <v>17</v>
      </c>
      <c r="J1109" s="92" t="s">
        <v>54</v>
      </c>
      <c r="K1109" s="92" t="s">
        <v>66</v>
      </c>
      <c r="L1109" s="92" t="s">
        <v>67</v>
      </c>
      <c r="M1109" s="90" t="s">
        <v>57</v>
      </c>
      <c r="N1109" s="92" t="s">
        <v>20</v>
      </c>
      <c r="O1109" s="92" t="s">
        <v>89</v>
      </c>
      <c r="P1109" s="87"/>
      <c r="Q1109" s="87" t="s">
        <v>534</v>
      </c>
      <c r="R1109" s="93" t="s">
        <v>187</v>
      </c>
      <c r="S1109" s="87"/>
      <c r="T1109" s="87"/>
      <c r="U1109" s="94" t="str">
        <f t="array" ref="U1109">IFERROR(INDEX(DFD!$D$2:$D$1048791,MATCH($Q1109,DFD!$B$2:$B$1048791,0)),"")</f>
        <v/>
      </c>
      <c r="V1109" s="94" t="str">
        <f t="array" ref="V1109">IFERROR(INDEX(DFD!$F$2:$F$1048791,MATCH($Q1109,DFD!$B$2:$B$1048791,0)),"")</f>
        <v/>
      </c>
      <c r="W1109" s="97" t="str">
        <f t="array" ref="W1109">IFERROR(INDEX(DFD!$E$2:$E$1048791,MATCH($Q1109,DFD!$B$2:$B$1048791,0)),"")</f>
        <v/>
      </c>
      <c r="X1109" s="97" t="str">
        <f t="array" ref="X1109">IFERROR(INDEX(DFD!$K$2:$K$1048791,MATCH($Q1109,DFD!$B$2:$B$1048791,0)),"")</f>
        <v/>
      </c>
      <c r="Y1109" s="97" t="str">
        <f t="array" ref="Y1109">IFERROR(INDEX(DFD!$L$2:$L$1048790,MATCH($Q1109,DFD!$B$2:$B$1048790,0)),"")</f>
        <v/>
      </c>
      <c r="Z1109" s="97">
        <f t="shared" si="21"/>
        <v>45</v>
      </c>
      <c r="AA1109" s="87"/>
      <c r="AB1109" s="87" t="s">
        <v>78</v>
      </c>
      <c r="AC1109" s="87"/>
      <c r="AD1109" s="99">
        <v>46043.0</v>
      </c>
      <c r="AE1109" s="100">
        <f t="shared" si="19"/>
        <v>1</v>
      </c>
    </row>
    <row r="1110" ht="15.75" customHeight="1">
      <c r="A1110" s="67" t="s">
        <v>2875</v>
      </c>
      <c r="B1110" s="59" t="s">
        <v>184</v>
      </c>
      <c r="C1110" s="60" t="s">
        <v>2876</v>
      </c>
      <c r="D1110" s="60" t="s">
        <v>51</v>
      </c>
      <c r="E1110" s="60">
        <v>150.0</v>
      </c>
      <c r="F1110" s="72">
        <v>703.5</v>
      </c>
      <c r="G1110" s="73" t="s">
        <v>53</v>
      </c>
      <c r="H1110" s="74">
        <v>46143.0</v>
      </c>
      <c r="I1110" s="67" t="s">
        <v>17</v>
      </c>
      <c r="J1110" s="67" t="s">
        <v>54</v>
      </c>
      <c r="K1110" s="67" t="s">
        <v>66</v>
      </c>
      <c r="L1110" s="67" t="s">
        <v>67</v>
      </c>
      <c r="M1110" s="73" t="s">
        <v>112</v>
      </c>
      <c r="N1110" s="67" t="s">
        <v>20</v>
      </c>
      <c r="O1110" s="59" t="s">
        <v>69</v>
      </c>
      <c r="P1110" s="59"/>
      <c r="Q1110" s="59" t="s">
        <v>113</v>
      </c>
      <c r="R1110" s="76" t="s">
        <v>114</v>
      </c>
      <c r="S1110" s="59"/>
      <c r="T1110" s="59"/>
      <c r="U1110" s="77" t="str">
        <f t="array" ref="U1110">IFERROR(INDEX(DFD!$D$2:$D$1048791,MATCH($Q1110,DFD!$B$2:$B$1048791,0)),"")</f>
        <v/>
      </c>
      <c r="V1110" s="77" t="str">
        <f t="array" ref="V1110">IFERROR(INDEX(DFD!$F$2:$F$1048791,MATCH($Q1110,DFD!$B$2:$B$1048791,0)),"")</f>
        <v/>
      </c>
      <c r="W1110" s="84" t="str">
        <f t="array" ref="W1110">IFERROR(INDEX(DFD!$E$2:$E$1048791,MATCH($Q1110,DFD!$B$2:$B$1048791,0)),"")</f>
        <v/>
      </c>
      <c r="X1110" s="84" t="str">
        <f t="array" ref="X1110">IFERROR(INDEX(DFD!$K$2:$K$1048791,MATCH($Q1110,DFD!$B$2:$B$1048791,0)),"")</f>
        <v/>
      </c>
      <c r="Y1110" s="84" t="str">
        <f t="array" ref="Y1110">IFERROR(INDEX(DFD!$L$2:$L$1048790,MATCH($Q1110,DFD!$B$2:$B$1048790,0)),"")</f>
        <v/>
      </c>
      <c r="Z1110" s="84">
        <f t="shared" si="21"/>
        <v>45</v>
      </c>
      <c r="AA1110" s="59" t="s">
        <v>746</v>
      </c>
      <c r="AB1110" s="59" t="s">
        <v>78</v>
      </c>
      <c r="AC1110" s="59"/>
      <c r="AD1110" s="85">
        <v>46043.0</v>
      </c>
      <c r="AE1110" s="86">
        <f t="shared" si="19"/>
        <v>1</v>
      </c>
    </row>
    <row r="1111" ht="15.75" customHeight="1">
      <c r="A1111" s="87" t="s">
        <v>2877</v>
      </c>
      <c r="B1111" s="87" t="s">
        <v>1245</v>
      </c>
      <c r="C1111" s="116" t="s">
        <v>2878</v>
      </c>
      <c r="D1111" s="88" t="s">
        <v>51</v>
      </c>
      <c r="E1111" s="88">
        <v>2.0</v>
      </c>
      <c r="F1111" s="89">
        <v>1.484E7</v>
      </c>
      <c r="G1111" s="90" t="s">
        <v>53</v>
      </c>
      <c r="H1111" s="91">
        <v>46235.0</v>
      </c>
      <c r="I1111" s="92" t="s">
        <v>18</v>
      </c>
      <c r="J1111" s="92" t="s">
        <v>54</v>
      </c>
      <c r="K1111" s="92" t="s">
        <v>83</v>
      </c>
      <c r="L1111" s="92" t="s">
        <v>1247</v>
      </c>
      <c r="M1111" s="90" t="s">
        <v>2879</v>
      </c>
      <c r="N1111" s="92" t="s">
        <v>52</v>
      </c>
      <c r="O1111" s="87" t="s">
        <v>69</v>
      </c>
      <c r="P1111" s="87"/>
      <c r="Q1111" s="87" t="s">
        <v>52</v>
      </c>
      <c r="R1111" s="93" t="s">
        <v>2878</v>
      </c>
      <c r="S1111" s="87"/>
      <c r="T1111" s="87"/>
      <c r="U1111" s="94" t="str">
        <f t="array" ref="U1111">IFERROR(INDEX(DFD!$D$2:$D$1048791,MATCH($Q1111,DFD!$B$2:$B$1048791,0)),"")</f>
        <v/>
      </c>
      <c r="V1111" s="94" t="str">
        <f t="array" ref="V1111">IFERROR(INDEX(DFD!$F$2:$F$1048791,MATCH($Q1111,DFD!$B$2:$B$1048791,0)),"")</f>
        <v/>
      </c>
      <c r="W1111" s="97" t="str">
        <f t="array" ref="W1111">IFERROR(INDEX(DFD!$E$2:$E$1048791,MATCH($Q1111,DFD!$B$2:$B$1048791,0)),"")</f>
        <v/>
      </c>
      <c r="X1111" s="97" t="str">
        <f t="array" ref="X1111">IFERROR(INDEX(DFD!$K$2:$K$1048791,MATCH($Q1111,DFD!$B$2:$B$1048791,0)),"")</f>
        <v/>
      </c>
      <c r="Y1111" s="97" t="str">
        <f t="array" ref="Y1111">IFERROR(INDEX(DFD!$L$2:$L$1048790,MATCH($Q1111,DFD!$B$2:$B$1048790,0)),"")</f>
        <v/>
      </c>
      <c r="Z1111" s="97">
        <f t="shared" si="21"/>
        <v>45</v>
      </c>
      <c r="AA1111" s="87"/>
      <c r="AB1111" s="87" t="s">
        <v>72</v>
      </c>
      <c r="AC1111" s="87"/>
      <c r="AD1111" s="99">
        <v>46043.0</v>
      </c>
      <c r="AE1111" s="100">
        <f t="shared" si="19"/>
        <v>1</v>
      </c>
    </row>
    <row r="1112" ht="15.75" customHeight="1">
      <c r="A1112" s="67" t="s">
        <v>2880</v>
      </c>
      <c r="B1112" s="71" t="s">
        <v>107</v>
      </c>
      <c r="C1112" s="60" t="s">
        <v>2881</v>
      </c>
      <c r="D1112" s="60" t="s">
        <v>51</v>
      </c>
      <c r="E1112" s="60">
        <v>5.0</v>
      </c>
      <c r="F1112" s="72">
        <v>2000.0</v>
      </c>
      <c r="G1112" s="73" t="s">
        <v>53</v>
      </c>
      <c r="H1112" s="74">
        <v>46174.0</v>
      </c>
      <c r="I1112" s="67" t="s">
        <v>17</v>
      </c>
      <c r="J1112" s="67" t="s">
        <v>54</v>
      </c>
      <c r="K1112" s="67" t="s">
        <v>66</v>
      </c>
      <c r="L1112" s="67" t="s">
        <v>197</v>
      </c>
      <c r="M1112" s="73" t="s">
        <v>68</v>
      </c>
      <c r="N1112" s="67" t="s">
        <v>20</v>
      </c>
      <c r="O1112" s="67" t="s">
        <v>89</v>
      </c>
      <c r="P1112" s="59"/>
      <c r="Q1112" s="59" t="s">
        <v>2882</v>
      </c>
      <c r="R1112" s="76" t="s">
        <v>86</v>
      </c>
      <c r="S1112" s="59"/>
      <c r="T1112" s="59"/>
      <c r="U1112" s="77" t="str">
        <f t="array" ref="U1112">IFERROR(INDEX(DFD!$D$2:$D$1048791,MATCH($Q1112,DFD!$B$2:$B$1048791,0)),"")</f>
        <v/>
      </c>
      <c r="V1112" s="77" t="str">
        <f t="array" ref="V1112">IFERROR(INDEX(DFD!$F$2:$F$1048791,MATCH($Q1112,DFD!$B$2:$B$1048791,0)),"")</f>
        <v/>
      </c>
      <c r="W1112" s="84" t="str">
        <f t="array" ref="W1112">IFERROR(INDEX(DFD!$E$2:$E$1048791,MATCH($Q1112,DFD!$B$2:$B$1048791,0)),"")</f>
        <v/>
      </c>
      <c r="X1112" s="84" t="str">
        <f t="array" ref="X1112">IFERROR(INDEX(DFD!$K$2:$K$1048791,MATCH($Q1112,DFD!$B$2:$B$1048791,0)),"")</f>
        <v/>
      </c>
      <c r="Y1112" s="84" t="str">
        <f t="array" ref="Y1112">IFERROR(INDEX(DFD!$L$2:$L$1048790,MATCH($Q1112,DFD!$B$2:$B$1048790,0)),"")</f>
        <v/>
      </c>
      <c r="Z1112" s="84">
        <f t="shared" si="21"/>
        <v>45</v>
      </c>
      <c r="AA1112" s="59"/>
      <c r="AB1112" s="59" t="s">
        <v>78</v>
      </c>
      <c r="AC1112" s="59"/>
      <c r="AD1112" s="85">
        <v>46043.0</v>
      </c>
      <c r="AE1112" s="86">
        <f t="shared" si="19"/>
        <v>1</v>
      </c>
    </row>
    <row r="1113" ht="15.75" customHeight="1">
      <c r="A1113" s="92" t="s">
        <v>2883</v>
      </c>
      <c r="B1113" s="87" t="s">
        <v>87</v>
      </c>
      <c r="C1113" s="88" t="s">
        <v>2881</v>
      </c>
      <c r="D1113" s="88" t="s">
        <v>51</v>
      </c>
      <c r="E1113" s="88">
        <v>5.0</v>
      </c>
      <c r="F1113" s="89">
        <v>2000.0</v>
      </c>
      <c r="G1113" s="90" t="s">
        <v>53</v>
      </c>
      <c r="H1113" s="91">
        <v>46174.0</v>
      </c>
      <c r="I1113" s="92" t="s">
        <v>17</v>
      </c>
      <c r="J1113" s="92" t="s">
        <v>54</v>
      </c>
      <c r="K1113" s="92" t="s">
        <v>66</v>
      </c>
      <c r="L1113" s="92" t="s">
        <v>197</v>
      </c>
      <c r="M1113" s="90" t="s">
        <v>68</v>
      </c>
      <c r="N1113" s="92" t="s">
        <v>20</v>
      </c>
      <c r="O1113" s="87" t="s">
        <v>69</v>
      </c>
      <c r="P1113" s="87"/>
      <c r="Q1113" s="87" t="s">
        <v>2882</v>
      </c>
      <c r="R1113" s="93" t="s">
        <v>86</v>
      </c>
      <c r="S1113" s="87"/>
      <c r="T1113" s="87"/>
      <c r="U1113" s="94" t="str">
        <f t="array" ref="U1113">IFERROR(INDEX(DFD!$D$2:$D$1048791,MATCH($Q1113,DFD!$B$2:$B$1048791,0)),"")</f>
        <v/>
      </c>
      <c r="V1113" s="94" t="str">
        <f t="array" ref="V1113">IFERROR(INDEX(DFD!$F$2:$F$1048791,MATCH($Q1113,DFD!$B$2:$B$1048791,0)),"")</f>
        <v/>
      </c>
      <c r="W1113" s="97" t="str">
        <f t="array" ref="W1113">IFERROR(INDEX(DFD!$E$2:$E$1048791,MATCH($Q1113,DFD!$B$2:$B$1048791,0)),"")</f>
        <v/>
      </c>
      <c r="X1113" s="97" t="str">
        <f t="array" ref="X1113">IFERROR(INDEX(DFD!$K$2:$K$1048791,MATCH($Q1113,DFD!$B$2:$B$1048791,0)),"")</f>
        <v/>
      </c>
      <c r="Y1113" s="97" t="str">
        <f t="array" ref="Y1113">IFERROR(INDEX(DFD!$L$2:$L$1048790,MATCH($Q1113,DFD!$B$2:$B$1048790,0)),"")</f>
        <v/>
      </c>
      <c r="Z1113" s="97">
        <f t="shared" si="21"/>
        <v>45</v>
      </c>
      <c r="AA1113" s="87"/>
      <c r="AB1113" s="87" t="s">
        <v>78</v>
      </c>
      <c r="AC1113" s="87"/>
      <c r="AD1113" s="99">
        <v>46043.0</v>
      </c>
      <c r="AE1113" s="100">
        <f t="shared" si="19"/>
        <v>1</v>
      </c>
    </row>
    <row r="1114" ht="15.75" customHeight="1">
      <c r="A1114" s="92" t="s">
        <v>2884</v>
      </c>
      <c r="B1114" s="87" t="s">
        <v>98</v>
      </c>
      <c r="C1114" s="88" t="s">
        <v>2881</v>
      </c>
      <c r="D1114" s="88" t="s">
        <v>51</v>
      </c>
      <c r="E1114" s="88">
        <v>3.0</v>
      </c>
      <c r="F1114" s="89">
        <v>1200.0</v>
      </c>
      <c r="G1114" s="90" t="s">
        <v>53</v>
      </c>
      <c r="H1114" s="91">
        <v>46174.0</v>
      </c>
      <c r="I1114" s="92" t="s">
        <v>17</v>
      </c>
      <c r="J1114" s="92" t="s">
        <v>54</v>
      </c>
      <c r="K1114" s="92" t="s">
        <v>66</v>
      </c>
      <c r="L1114" s="92" t="s">
        <v>197</v>
      </c>
      <c r="M1114" s="90" t="s">
        <v>68</v>
      </c>
      <c r="N1114" s="92" t="s">
        <v>20</v>
      </c>
      <c r="O1114" s="87" t="s">
        <v>69</v>
      </c>
      <c r="P1114" s="87"/>
      <c r="Q1114" s="87" t="s">
        <v>2882</v>
      </c>
      <c r="R1114" s="93" t="s">
        <v>86</v>
      </c>
      <c r="S1114" s="87"/>
      <c r="T1114" s="87"/>
      <c r="U1114" s="94" t="str">
        <f t="array" ref="U1114">IFERROR(INDEX(DFD!$D$2:$D$1048791,MATCH($Q1114,DFD!$B$2:$B$1048791,0)),"")</f>
        <v/>
      </c>
      <c r="V1114" s="94" t="str">
        <f t="array" ref="V1114">IFERROR(INDEX(DFD!$F$2:$F$1048791,MATCH($Q1114,DFD!$B$2:$B$1048791,0)),"")</f>
        <v/>
      </c>
      <c r="W1114" s="97" t="str">
        <f t="array" ref="W1114">IFERROR(INDEX(DFD!$E$2:$E$1048791,MATCH($Q1114,DFD!$B$2:$B$1048791,0)),"")</f>
        <v/>
      </c>
      <c r="X1114" s="97" t="str">
        <f t="array" ref="X1114">IFERROR(INDEX(DFD!$K$2:$K$1048791,MATCH($Q1114,DFD!$B$2:$B$1048791,0)),"")</f>
        <v/>
      </c>
      <c r="Y1114" s="97" t="str">
        <f t="array" ref="Y1114">IFERROR(INDEX(DFD!$L$2:$L$1048790,MATCH($Q1114,DFD!$B$2:$B$1048790,0)),"")</f>
        <v/>
      </c>
      <c r="Z1114" s="97">
        <f t="shared" si="21"/>
        <v>45</v>
      </c>
      <c r="AA1114" s="87"/>
      <c r="AB1114" s="87" t="s">
        <v>78</v>
      </c>
      <c r="AC1114" s="87"/>
      <c r="AD1114" s="99">
        <v>46043.0</v>
      </c>
      <c r="AE1114" s="100">
        <f t="shared" si="19"/>
        <v>1</v>
      </c>
    </row>
    <row r="1115" ht="15.75" customHeight="1">
      <c r="A1115" s="68" t="s">
        <v>2885</v>
      </c>
      <c r="B1115" s="68" t="s">
        <v>92</v>
      </c>
      <c r="C1115" s="61" t="s">
        <v>2881</v>
      </c>
      <c r="D1115" s="61" t="s">
        <v>51</v>
      </c>
      <c r="E1115" s="61">
        <v>2.0</v>
      </c>
      <c r="F1115" s="186">
        <v>800.0</v>
      </c>
      <c r="G1115" s="64" t="s">
        <v>53</v>
      </c>
      <c r="H1115" s="65">
        <v>46174.0</v>
      </c>
      <c r="I1115" s="66" t="s">
        <v>17</v>
      </c>
      <c r="J1115" s="66" t="s">
        <v>54</v>
      </c>
      <c r="K1115" s="66" t="s">
        <v>66</v>
      </c>
      <c r="L1115" s="66" t="s">
        <v>197</v>
      </c>
      <c r="M1115" s="64" t="s">
        <v>167</v>
      </c>
      <c r="N1115" s="66" t="s">
        <v>5</v>
      </c>
      <c r="O1115" s="66" t="s">
        <v>89</v>
      </c>
      <c r="P1115" s="68"/>
      <c r="Q1115" s="68" t="s">
        <v>2882</v>
      </c>
      <c r="R1115" s="187" t="s">
        <v>86</v>
      </c>
      <c r="S1115" s="68"/>
      <c r="T1115" s="68"/>
      <c r="U1115" s="70" t="str">
        <f t="array" ref="U1115">IFERROR(INDEX(DFD!$D$2:$D$1048791,MATCH($Q1115,DFD!$B$2:$B$1048791,0)),"")</f>
        <v/>
      </c>
      <c r="V1115" s="70" t="str">
        <f t="array" ref="V1115">IFERROR(INDEX(DFD!$F$2:$F$1048791,MATCH($Q1115,DFD!$B$2:$B$1048791,0)),"")</f>
        <v/>
      </c>
      <c r="W1115" s="75" t="str">
        <f t="array" ref="W1115">IFERROR(INDEX(DFD!$E$2:$E$1048791,MATCH($Q1115,DFD!$B$2:$B$1048791,0)),"")</f>
        <v/>
      </c>
      <c r="X1115" s="75" t="str">
        <f t="array" ref="X1115">IFERROR(INDEX(DFD!$K$2:$K$1048791,MATCH($Q1115,DFD!$B$2:$B$1048791,0)),"")</f>
        <v/>
      </c>
      <c r="Y1115" s="75" t="str">
        <f t="array" ref="Y1115">IFERROR(INDEX(DFD!$L$2:$L$1048790,MATCH($Q1115,DFD!$B$2:$B$1048790,0)),"")</f>
        <v/>
      </c>
      <c r="Z1115" s="75">
        <f t="shared" si="21"/>
        <v>45</v>
      </c>
      <c r="AA1115" s="68"/>
      <c r="AB1115" s="68" t="s">
        <v>78</v>
      </c>
      <c r="AC1115" s="68"/>
      <c r="AD1115" s="78">
        <v>46043.0</v>
      </c>
      <c r="AE1115" s="3">
        <f t="shared" si="19"/>
        <v>1</v>
      </c>
    </row>
    <row r="1116" ht="15.75" customHeight="1">
      <c r="A1116" s="87" t="s">
        <v>2886</v>
      </c>
      <c r="B1116" s="87" t="s">
        <v>400</v>
      </c>
      <c r="C1116" s="88" t="s">
        <v>2887</v>
      </c>
      <c r="D1116" s="88" t="s">
        <v>51</v>
      </c>
      <c r="E1116" s="88">
        <v>10.0</v>
      </c>
      <c r="F1116" s="89">
        <v>55000.0</v>
      </c>
      <c r="G1116" s="90" t="s">
        <v>53</v>
      </c>
      <c r="H1116" s="91">
        <v>46266.0</v>
      </c>
      <c r="I1116" s="92" t="s">
        <v>17</v>
      </c>
      <c r="J1116" s="92" t="s">
        <v>54</v>
      </c>
      <c r="K1116" s="92" t="s">
        <v>161</v>
      </c>
      <c r="L1116" s="92" t="s">
        <v>67</v>
      </c>
      <c r="M1116" s="90" t="s">
        <v>132</v>
      </c>
      <c r="N1116" s="92" t="s">
        <v>5</v>
      </c>
      <c r="O1116" s="87" t="s">
        <v>69</v>
      </c>
      <c r="P1116" s="87"/>
      <c r="Q1116" s="87"/>
      <c r="R1116" s="93" t="s">
        <v>164</v>
      </c>
      <c r="S1116" s="87"/>
      <c r="T1116" s="87"/>
      <c r="U1116" s="94" t="str">
        <f t="array" ref="U1116">IFERROR(INDEX(DFD!$D$2:$D$1048791,MATCH($Q1116,DFD!$B$2:$B$1048791,0)),"")</f>
        <v/>
      </c>
      <c r="V1116" s="94" t="str">
        <f t="array" ref="V1116">IFERROR(INDEX(DFD!$F$2:$F$1048791,MATCH($Q1116,DFD!$B$2:$B$1048791,0)),"")</f>
        <v/>
      </c>
      <c r="W1116" s="97" t="str">
        <f t="array" ref="W1116">IFERROR(INDEX(DFD!$E$2:$E$1048791,MATCH($Q1116,DFD!$B$2:$B$1048791,0)),"")</f>
        <v/>
      </c>
      <c r="X1116" s="97" t="str">
        <f t="array" ref="X1116">IFERROR(INDEX(DFD!$K$2:$K$1048791,MATCH($Q1116,DFD!$B$2:$B$1048791,0)),"")</f>
        <v/>
      </c>
      <c r="Y1116" s="97" t="str">
        <f t="array" ref="Y1116">IFERROR(INDEX(DFD!$L$2:$L$1048790,MATCH($Q1116,DFD!$B$2:$B$1048790,0)),"")</f>
        <v/>
      </c>
      <c r="Z1116" s="97">
        <f t="shared" si="21"/>
        <v>45</v>
      </c>
      <c r="AA1116" s="87"/>
      <c r="AB1116" s="87" t="s">
        <v>72</v>
      </c>
      <c r="AC1116" s="87"/>
      <c r="AD1116" s="99">
        <v>46043.0</v>
      </c>
      <c r="AE1116" s="100">
        <f t="shared" si="19"/>
        <v>1</v>
      </c>
    </row>
    <row r="1117" ht="15.75" customHeight="1">
      <c r="A1117" s="68" t="s">
        <v>2888</v>
      </c>
      <c r="B1117" s="68" t="s">
        <v>52</v>
      </c>
      <c r="C1117" s="61" t="s">
        <v>2889</v>
      </c>
      <c r="D1117" s="61" t="s">
        <v>51</v>
      </c>
      <c r="E1117" s="61">
        <v>5.0</v>
      </c>
      <c r="F1117" s="186">
        <v>250000.0</v>
      </c>
      <c r="G1117" s="64" t="s">
        <v>53</v>
      </c>
      <c r="H1117" s="65">
        <v>46174.0</v>
      </c>
      <c r="I1117" s="66" t="s">
        <v>18</v>
      </c>
      <c r="J1117" s="66" t="s">
        <v>54</v>
      </c>
      <c r="K1117" s="66" t="s">
        <v>161</v>
      </c>
      <c r="L1117" s="66" t="s">
        <v>67</v>
      </c>
      <c r="M1117" s="64" t="s">
        <v>132</v>
      </c>
      <c r="N1117" s="66" t="s">
        <v>58</v>
      </c>
      <c r="O1117" s="68" t="s">
        <v>69</v>
      </c>
      <c r="P1117" s="68"/>
      <c r="Q1117" s="68" t="s">
        <v>52</v>
      </c>
      <c r="R1117" s="187" t="s">
        <v>2889</v>
      </c>
      <c r="S1117" s="68"/>
      <c r="T1117" s="68"/>
      <c r="U1117" s="70"/>
      <c r="V1117" s="70"/>
      <c r="W1117" s="75"/>
      <c r="X1117" s="75"/>
      <c r="Y1117" s="75"/>
      <c r="Z1117" s="75"/>
      <c r="AA1117" s="68"/>
      <c r="AB1117" s="68" t="s">
        <v>72</v>
      </c>
      <c r="AC1117" s="68"/>
      <c r="AD1117" s="78">
        <v>46043.0</v>
      </c>
      <c r="AE1117" s="3">
        <f t="shared" si="19"/>
        <v>1</v>
      </c>
    </row>
  </sheetData>
  <autoFilter ref="$A$11:$AE$1117">
    <filterColumn colId="16">
      <filters blank="1">
        <filter val="106/2026"/>
        <filter val="037/2026"/>
        <filter val="137/2026"/>
        <filter val="023/2026"/>
        <filter val="154/2026"/>
        <filter val="070/2026"/>
        <filter val="006/2026"/>
        <filter val="054/2026"/>
        <filter val="140/2026"/>
        <filter val="2025"/>
        <filter val="085/2026"/>
        <filter val="040/2026"/>
        <filter val="036/2026"/>
        <filter val="136/2026"/>
        <filter val="2024"/>
        <filter val="105/2026"/>
        <filter val="071/2026"/>
        <filter val="005/2026"/>
        <filter val="097/2026"/>
        <filter val="152/2026"/>
        <filter val="010/2026"/>
        <filter val="155/2026"/>
        <filter val="124/2026"/>
        <filter val="119/2026"/>
        <filter val="069/2026"/>
        <filter val="135/2026"/>
        <filter val="072/2026"/>
        <filter val="141/2026"/>
        <filter val="083/2026"/>
        <filter val="138/2026"/>
        <filter val="004/2026"/>
        <filter val="007/2026"/>
        <filter val="067/2026"/>
        <filter val="122/2026"/>
        <filter val="053/2026"/>
        <filter val="149/2026"/>
        <filter val="111/2026"/>
        <filter val="056/2026"/>
        <filter val="018/2026"/>
        <filter val="CNH"/>
        <filter val="042/2026"/>
        <filter val="073/2026"/>
        <filter val="048/2026"/>
        <filter val="120/2026"/>
        <filter val="N° DA CONTRATAÇÃO"/>
        <filter val="148/2026"/>
        <filter val="003/2026"/>
        <filter val="051/2026"/>
        <filter val="012/2026"/>
        <filter val="265/2026"/>
        <filter val="117/2026"/>
        <filter val="151/2026"/>
        <filter val="009/2026"/>
        <filter val="025/2026"/>
        <filter val="088/2026"/>
        <filter val="139/2026"/>
        <filter val="060/2026"/>
        <filter val="274/2026"/>
        <filter val="047/2026"/>
        <filter val="066/2026"/>
        <filter val="110/2026"/>
        <filter val="016/2026"/>
        <filter val="013/2026"/>
        <filter val="019/2026"/>
        <filter val="041/2026"/>
        <filter val="044/2026"/>
        <filter val="035/2026"/>
        <filter val="038/2026"/>
        <filter val="101/2026"/>
        <filter val="161/2026"/>
        <filter val="022/2026"/>
        <filter val="164/2026"/>
        <filter val="104/2026"/>
        <filter val="092/2026"/>
        <filter val="107/2026"/>
        <filter val="057/2026"/>
        <filter val="126/2026"/>
        <filter val="123/2026"/>
        <filter val="098/2026"/>
        <filter val="129/2026"/>
        <filter val="079/2026"/>
        <filter val="CARTORIO"/>
        <filter val="095/2026"/>
        <filter val="142/2026"/>
        <filter val="131/2026"/>
        <filter val="076/2026"/>
        <filter val="031/2026"/>
        <filter val="145/2026"/>
        <filter val="114/2026"/>
        <filter val="059/2026"/>
        <filter val="159/2026"/>
        <filter val="062/2026"/>
        <filter val="014/2026"/>
        <filter val="001/2026"/>
        <filter val="032/2026"/>
        <filter val="128/2026"/>
        <filter val="077/2026"/>
        <filter val="132/2026"/>
        <filter val="028/2026"/>
        <filter val="093/2026"/>
        <filter val="063/2026"/>
        <filter val="158/2026"/>
        <filter val="113/2026"/>
        <filter val="058/2026"/>
        <filter val="094/2026"/>
        <filter val="CURSOS DIÁRIAS"/>
        <filter val="116/2026"/>
        <filter val="089/2026"/>
        <filter val="144/2026"/>
        <filter val="078/2026"/>
        <filter val="133/2026"/>
        <filter val="130/2026"/>
        <filter val="075/2026"/>
        <filter val="146/2026"/>
        <filter val="091/2026"/>
        <filter val="064/2026"/>
        <filter val="CEPDEC"/>
        <filter val="061/2026"/>
        <filter val="157/2026"/>
        <filter val="261/2026"/>
        <filter val="264/2026"/>
        <filter val="015/2026"/>
        <filter val="029/2026"/>
        <filter val="100/2026"/>
        <filter val="045/2026"/>
        <filter val="026/2026"/>
        <filter val="050/2026"/>
        <filter val="109/2026"/>
        <filter val="103/2026"/>
        <filter val="065/2026"/>
        <filter val="020/2026"/>
        <filter val="CONTRATO"/>
        <filter val="081/2026"/>
        <filter val="156/2026"/>
        <filter val="017/2026"/>
        <filter val="165/2026"/>
        <filter val="096/2026"/>
        <filter val="125/2026"/>
        <filter val="043/2026"/>
        <filter val="039/2026"/>
        <filter val="143/2026"/>
        <filter val="ADESÃO ATA"/>
        <filter val="147/2026"/>
        <filter val="108/2026"/>
        <filter val="021/2026"/>
        <filter val="008/2026"/>
        <filter val="102/2026"/>
        <filter val="090/2026"/>
        <filter val="074/2026"/>
        <filter val="002/2026"/>
        <filter val="121/2026"/>
        <filter val="055/2026"/>
        <filter val="027/2026"/>
        <filter val="052/2026"/>
        <filter val="024/2026"/>
        <filter val="030/2026"/>
        <filter val="033/2026"/>
        <filter val="Almoxarifado Virtual"/>
        <filter val="046/2026"/>
        <filter val="DER"/>
        <filter val="118/2026"/>
        <filter val="049/2026"/>
        <filter val="112/2026"/>
        <filter val="011/2026"/>
        <filter val="115/2026"/>
        <filter val="068/2026"/>
        <filter val="084/2026"/>
        <filter val="153/2026"/>
        <filter val="134/2026"/>
        <filter val="087/2026"/>
        <filter val="150/2026"/>
      </filters>
    </filterColumn>
  </autoFilter>
  <mergeCells count="4">
    <mergeCell ref="E4:H4"/>
    <mergeCell ref="E5:H5"/>
    <mergeCell ref="I11:K11"/>
    <mergeCell ref="I826:K826"/>
  </mergeCells>
  <conditionalFormatting sqref="A49:L49 N49 P49:AE49">
    <cfRule type="cellIs" dxfId="3" priority="1" operator="equal">
      <formula>"encerrado "</formula>
    </cfRule>
  </conditionalFormatting>
  <dataValidations>
    <dataValidation type="list" allowBlank="1" showErrorMessage="1" sqref="O14 O17 O20 O23 O26 O29 O32 O35 O38 O41 O44 O47 O50 O53 O56 O59 O62 O65 O68 O71 O74 O77 O80 O83 O86 O89 O92 O95 O98 O101 O104 O107 O110 O113 O116 O119 O122 O125 O128 O131 O134 O137 O140 O143 O146 O149 O152 O155 O158 O161 O164 O167 O170 O173 O176 O179 O182 O185 O188 O191 O194 O197 O200 O203 O206 O209 O212 O215 O218 O221 O224 O227 O230 O233 O236 O239 O242 O245 O248 O251 O254 O257 O260 O263 O266 O269 O272 O275 O278 O281 O284 O287 O290 O293 O296 O299 O303 O306 O309 O312 O315 O318 O321 O324 O327 O330 O333 O336 O339 O342 O345 O348 O351 O354 O357 O360 O363 O366 O369 O372 O375 O378 O381 O384 O387 O390 O393 O396 O399 O402 O405 O408 O411 O414 O417 O420 O423 O426 O429 O432 O435 O438 O441 O444 O447 O450 O453 O456 O459 O462 O465 O468 O471 O474 O477 O480 O483 O486 O489 O492 O495 O498 O501 O504 O507 O510 O513 O516 O519 O522 O525 O528 O531 O534 O537 O540 O543 O546 O549 O552 O555 O558 O561 O564 O567 O570 O573 O576 O579 O582 O585 O588 O591 O594 O597 O600 O603 O606 O609 O612 O616 O619 O622 O625 O628 O631 O634 O637 O640 O643 O646 O649 O652 O655 O658 O661 O665 O668 O671 O674 O677 O680 O683 O686 O689 O692 O695 O698 O701 O704 O707 O710 O713 O716 O719 O722 O725 O728 O731 O734 O737 O740 O743 O746 O749 O752 O755 O758 O761 O764 O767 O770 O773 O776 O779 O782 O787 O790 O793 O796 O799 O802 O805 O808 O811 O814 O817 O820 O823 O826 O829 O832 O835 O838 O841 O844 O847 O850 O853 O856 O859 O862 O865 O868 O871 O874 O877 O880 O883 O886 O889 O893 O896 O899 O902 O905 O908 O911 O914 O917 O920 O923 O926 O929 O932 O935 O938 O941 O944 O947 O950 O953 O956 O959 O962 O965 O968 O971 O974 O977 O980 O983 O986 O989 O992 O995 O998 O1001 O1004 O1007 O1010 O1013 O1016 O1019 O1022 O1025 O1028 O1031 O1034 O1037 O1040 O1043 O1046 O1049 O1052 O1055 O1058 O1061 O1064 O1067 O1070 O1073 O1076 O1079 O1082 O1085 O1088 O1091 O1094 O1097 O1100 O1103 O1106 O1109 O1112 O1115">
      <formula1>"VERSÃO 1 (PUBLICADO 06/11/2025),VERSÃO 2 (AGURADANDO PUBLICAÇÃO),SEM PREVISÃO,RETIRADO DO PCA,VERSÃO 2 (PUBLICADO 21/1/2025),VERSÃO 4 (PUBLICADO 22/4/2026),VERSÃO 5 (PUBLICADO 27/07/2026)"</formula1>
    </dataValidation>
    <dataValidation type="list" allowBlank="1" showErrorMessage="1" sqref="J13:J825 J827:J1117">
      <formula1>Listas!$E$2:$E$33</formula1>
    </dataValidation>
    <dataValidation type="list" allowBlank="1" showErrorMessage="1" sqref="K800 I13:I825 I827:I1117">
      <formula1>Listas!$D$2:$D$9</formula1>
    </dataValidation>
    <dataValidation type="list" allowBlank="1" showErrorMessage="1" sqref="AC347">
      <formula1>"ADESÃO,CONSUMO DE ARP,COMPRA DIRETA,LICITAÇÃO,INEXIGIBILIDADE,DISPENSA"</formula1>
    </dataValidation>
    <dataValidation type="list" allowBlank="1" showErrorMessage="1" sqref="AB12:AB105 AB107:AB677 AB679:AB825 AB827:AB1117">
      <formula1>"PROCESSAMENTO,SETOR REQUISITANTE,CPL,CONTRATO VIGENTE,SEM AUTUAÇÃO,ENCERRADO"</formula1>
    </dataValidation>
    <dataValidation type="list" allowBlank="1" showErrorMessage="1" sqref="AC12:AC346 AC348:AC825 AC827:AC1117">
      <formula1>"CONTRATAÇÃO DIRETA,LICITAÇÃO,CONSUMO DE ARP,ADESÃO,INEXIGIBILIDADE"</formula1>
    </dataValidation>
    <dataValidation type="list" allowBlank="1" showErrorMessage="1" sqref="L13:L825 L827:L1117">
      <formula1>Listas!$C$2:$C$8</formula1>
    </dataValidation>
    <dataValidation type="list" allowBlank="1" showErrorMessage="1" sqref="K13:K799 K801:K825 K827:K1117">
      <formula1>Listas!$F$2:$F$88</formula1>
    </dataValidation>
    <dataValidation type="list" allowBlank="1" showErrorMessage="1" sqref="AB106 AB678">
      <formula1>"PROCESSAMENTO,SETOR REQUISITANTE,CPL,CONTRATO VIGENTE,SEM AUTUAÇÃO"</formula1>
    </dataValidation>
    <dataValidation type="list" allowBlank="1" showErrorMessage="1" sqref="O12:O13 O15:O16 O18:O19 O21:O22 O24:O25 O27:O28 O30:O31 O33:O34 O36:O37 O39:O40 O42:O43 O45:O46 O48:O49 O51:P52 P53 O54:P55 P56 O57:P58 P59 O60:P61 P62 O63:P63 O64 O66:O67 O69:O70 O72:O73 O75:O76 O78:O79 O81:O82 O84:O85 O87:O88 O90:O91 O93:O94 O96:O97 O99:O100 O102:O103 O105:O106 O108:O109 O111:O112 O114:O115 O117:O118 O120:O121 O123:O124 O126:O127 O129:O130 O132:O133 O135:O136 O138:O139 O141:O142 O144:O145 O147:O148 O150:O151 O153:O154 O156:O157 O159:O160 O162:O163 O165:O166 O168:O169 O171:O172 O174:O175 O177:O178 O180:O181 O183:O184 O186:O187 O189:O190 O192:O193 O195:O196 O198:O199 O201:O202 O204:O205 O207:O208 O210:O211 O213:O214 O216:O217 O219:O220 O222:O223 O225:O226 O228:O229 O231:O232 O234:O235 O237:O238 O240:O241 O243:O244 O246:O247 O249:O250 O252:O253 O255:O256 O258:O259 O261:O262 O264:O265 O267:O268 O270:O271 O273:O274 O276:O277 O279:O280 O282:O283 O285:O286 O288:O289 O291:O292 O294:O295 O297:O298 O300:O302 O304:O305 O307:O308 O310:O311 O313:O314 O316:O317 O319:O320 O322:O323 O325:O326 O328:O329 O331:O332 O334:O335 O337:O338 O340:O341 O343:O344 O346:O347 O349:O350 O352:O353 O355:O356 O358:O359 O361:O362 O364:O365 O367:O368 O370:O371 O373:O374 O376:O377 O379:O380 O382:O383 O385:O386 O388:O389 O391:O392 O394:O395 O397:O398 O400:O401 O403:O404 O406:O407 O409:O410 O412:O413 O415:O416 O418:O419 O421:O422 O424:O425 O427:O428 O430:O431 O433:O434 O436:O437 O439:O440 O442:O443 O445:O446 O448:O449 O451:O452 O454:O455 O457:O458 O460:O461 O463:O464 O466:O467 O469:O470 O472:O473 O475:O476 O478:O479 O481:O482 O484:O485 O487:O488 O490:O491 O493:O494 O496:O497 O499:O500 O502:O503 O505:O506 O508:O509 O511:O512 O514:O515 O517:O518 O520:O521 O523:O524 O526:O527 O529:O530 O532:O533 O535:O536 O538:O539 O541:O542 O544:O545 O547:O548 O550:O551 O553:O554 O556:O557 O559:O560 O562:O563 O565:O566 O568:O569 O571:O572 O574:O575 O577:O578 O580:O581 O583:O584 O586:O587 O589:O590 O592:O593 O595:O596 O598:O599 O601:O602 O604:O605 O607:O608 O610:O611 O613:O615 O617:O618 O620:O621 O623:O624 O626:O627 O629:O630 O632:O633 O635:O636 O638:O639 O641:O642 O644:O645 O647:O648 O650:O651 O653:O654 O656:O657 O659:O660 O662:O664 O666:O667 O669:O670 O672:O673 O675:O676 O678:O679 O681:O682 O684:O685 O687:O688 O690:O691 O693:O694 O696:O697 O699:O700 O702:O703 O705:O706 O708:O709 O711:O712 O714:O715 O717:O718 O720:O721 O723:O724 O726:O727 O729:O730 O732:O733 O735:O736 O738:O739 O741:O742 O744:O745 O747:O748 O750:O751 O753:O754 O756:O757 O759:O760 O762:O763 O765:O766 O768:O769 O771:O772 O774:O775 O777:O778 O780:O781 O783:O786 O788:O789 O791:O792 O794:O795 O797:O798 O800:O801 O803:O804 O806:O807 O809:O810 O812:O813 O815:O816 O818:O819 O821:O822 O824:O825 O827:O828 O830:O831 O833:O834 O836:O837 O839:O840 O842:O843 O845:O846 O848:O849 O851:O852 O854:O855 O857:O858 O860:O861 O863:O864 O866:O867 O869:O870 O872:O873 O875:O876 O878:O879 O881:O882 O884:O885 O887:O888 O890:O892 O894:O895 O897:O898 O900:O901 O903:O904 O906:O907 O909:O910 O912:O913 O915:O916 O918:O919 O921:O922 O924:O925 O927:O928 O930:O931 O933:O934 O936:O937 O939:O940 O942:O943 O945:O946 O948:O949 O951:O952 O954:O955 O957:O958 O960:O961 O963:O964 O966:O967 O969:O970 O972:O973 O975:O976 O978:O979 O981:O982 O984:O985 O987:O988 O990:O991 O993:O994 O996:O997 O999:O1000 O1002:O1003 O1005:O1006 O1008:O1009 O1011:O1012 O1014:O1015 O1017:O1018 O1020:O1021 O1023:O1024 O1026:O1027 O1029:O1030 O1032:O1033 O1035:O1036 O1038:O1039 O1041:O1042 O1044:O1045 O1047:O1048 O1050:O1051 O1053:O1054 O1056:O1057 O1059:O1060 O1062:O1063 O1065:O1066 O1068:O1069 O1071:O1072 O1074:O1075 O1077:O1078 O1080:O1081 O1083:O1084 O1086:O1087 O1089:O1090 O1092:O1093 O1095:O1096 O1098:O1099 O1101:O1102 O1104:O1105 O1107:O1108 O1110:O1111 O1113:O1114 O1116:O1117">
      <formula1>"VERSÃO 1 (PUBLICADO 06/11/2025),VERSÃO 2 (AGURADANDO PUBLICAÇÃO),SEM PREVISÃO,RETIRADO DO PCA,VERSÃO 2 (PUBLICADO 21/1/2025),VERSÃO 4 (PUBLICADO 22/4/2026),VERSÃO 5 (PUBLICADO 28/07/2026)"</formula1>
    </dataValidation>
  </dataValidations>
  <printOptions horizontalCentered="1" verticalCentered="1"/>
  <pageMargins bottom="0.787401575" footer="0.0" header="0.0" left="0.511811024" right="0.5361183637946041" top="0.787401575"/>
  <pageSetup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ySplit="11.0" topLeftCell="A12" activePane="bottomLeft" state="frozen"/>
      <selection activeCell="B13" sqref="B13" pane="bottomLeft"/>
    </sheetView>
  </sheetViews>
  <sheetFormatPr customHeight="1" defaultColWidth="12.63" defaultRowHeight="15.0"/>
  <cols>
    <col customWidth="1" min="1" max="2" width="19.75"/>
    <col customWidth="1" min="3" max="3" width="31.88"/>
    <col customWidth="1" min="4" max="4" width="17.13"/>
    <col customWidth="1" min="5" max="5" width="13.0"/>
    <col customWidth="1" min="6" max="6" width="27.0"/>
    <col customWidth="1" min="7" max="7" width="17.88"/>
    <col customWidth="1" min="8" max="8" width="12.38"/>
    <col customWidth="1" min="9" max="9" width="21.63"/>
    <col customWidth="1" min="10" max="10" width="12.38"/>
    <col customWidth="1" min="11" max="11" width="17.75"/>
    <col customWidth="1" min="12" max="12" width="15.63"/>
    <col customWidth="1" min="13" max="13" width="29.38"/>
    <col customWidth="1" min="14" max="17" width="15.5"/>
    <col customWidth="1" min="18" max="18" width="53.13"/>
    <col customWidth="1" min="19" max="19" width="14.75"/>
    <col customWidth="1" min="20" max="25" width="15.5"/>
    <col customWidth="1" min="26" max="26" width="17.13"/>
    <col customWidth="1" min="27" max="27" width="15.88"/>
    <col customWidth="1" min="28" max="31" width="15.5"/>
  </cols>
  <sheetData>
    <row r="1" ht="15.75" customHeight="1">
      <c r="A1" s="4"/>
      <c r="B1" s="4"/>
      <c r="C1" s="4"/>
      <c r="D1" s="4"/>
      <c r="E1" s="4"/>
      <c r="F1" s="4"/>
      <c r="G1" s="4"/>
      <c r="H1" s="4"/>
      <c r="I1" s="4"/>
      <c r="J1" s="4"/>
      <c r="K1" s="4"/>
      <c r="L1" s="4"/>
      <c r="M1" s="4"/>
      <c r="N1" s="4"/>
      <c r="O1" s="4"/>
      <c r="P1" s="4"/>
      <c r="Q1" s="4"/>
      <c r="R1" s="12"/>
      <c r="S1" s="4"/>
      <c r="T1" s="4"/>
      <c r="U1" s="4"/>
      <c r="V1" s="4"/>
      <c r="W1" s="15"/>
      <c r="X1" s="4"/>
      <c r="Y1" s="15"/>
      <c r="Z1" s="4"/>
      <c r="AA1" s="4"/>
      <c r="AB1" s="4"/>
      <c r="AC1" s="4"/>
      <c r="AD1" s="4"/>
      <c r="AE1" s="4"/>
    </row>
    <row r="2" ht="45.75" customHeight="1">
      <c r="A2" s="21"/>
      <c r="B2" s="22"/>
      <c r="C2" s="22"/>
      <c r="D2" s="22"/>
      <c r="E2" s="22"/>
      <c r="F2" s="25" t="s">
        <v>9</v>
      </c>
      <c r="G2" s="22"/>
      <c r="H2" s="22"/>
      <c r="I2" s="22"/>
      <c r="J2" s="22"/>
      <c r="K2" s="22"/>
      <c r="L2" s="22"/>
      <c r="M2" s="22"/>
      <c r="N2" s="27"/>
      <c r="O2" s="21"/>
      <c r="P2" s="21"/>
      <c r="Q2" s="21"/>
      <c r="R2" s="29"/>
      <c r="S2" s="21"/>
      <c r="T2" s="21"/>
      <c r="U2" s="21"/>
      <c r="V2" s="21"/>
      <c r="W2" s="31"/>
      <c r="X2" s="21"/>
      <c r="Y2" s="31"/>
      <c r="Z2" s="21"/>
      <c r="AA2" s="21"/>
      <c r="AB2" s="21"/>
      <c r="AC2" s="21"/>
      <c r="AD2" s="21"/>
      <c r="AE2" s="21"/>
    </row>
    <row r="3" ht="15.75" hidden="1" customHeight="1">
      <c r="A3" s="4"/>
      <c r="B3" s="4"/>
      <c r="C3" s="4"/>
      <c r="D3" s="4"/>
      <c r="E3" s="4"/>
      <c r="F3" s="4"/>
      <c r="G3" s="4"/>
      <c r="H3" s="4"/>
      <c r="I3" s="4"/>
      <c r="J3" s="4"/>
      <c r="K3" s="4"/>
      <c r="L3" s="4"/>
      <c r="M3" s="4"/>
      <c r="N3" s="4"/>
      <c r="O3" s="4"/>
      <c r="P3" s="4"/>
      <c r="Q3" s="35"/>
      <c r="R3" s="35"/>
      <c r="S3" s="35"/>
      <c r="T3" s="35"/>
      <c r="U3" s="35"/>
      <c r="V3" s="35"/>
      <c r="W3" s="36"/>
      <c r="X3" s="35"/>
      <c r="Y3" s="36"/>
      <c r="Z3" s="35"/>
      <c r="AA3" s="35"/>
      <c r="AB3" s="35"/>
      <c r="AC3" s="35"/>
      <c r="AD3" s="35"/>
      <c r="AE3" s="35"/>
    </row>
    <row r="4" ht="38.25" hidden="1" customHeight="1">
      <c r="A4" s="10"/>
      <c r="C4" s="13" t="s">
        <v>2</v>
      </c>
      <c r="D4" s="38"/>
      <c r="E4" s="18" t="s">
        <v>5</v>
      </c>
      <c r="F4" s="19"/>
      <c r="G4" s="19"/>
      <c r="H4" s="20"/>
      <c r="I4" s="38"/>
      <c r="J4" s="38"/>
      <c r="K4" s="38"/>
      <c r="L4" s="38"/>
      <c r="M4" s="4"/>
      <c r="O4" s="4"/>
      <c r="P4" s="4"/>
      <c r="Q4" s="35"/>
      <c r="R4" s="35"/>
      <c r="S4" s="35"/>
      <c r="T4" s="35"/>
      <c r="U4" s="35"/>
      <c r="V4" s="35"/>
      <c r="W4" s="36"/>
      <c r="X4" s="35"/>
      <c r="Y4" s="36"/>
      <c r="Z4" s="35"/>
      <c r="AA4" s="35"/>
      <c r="AB4" s="35"/>
      <c r="AC4" s="35"/>
      <c r="AD4" s="35"/>
      <c r="AE4" s="35"/>
    </row>
    <row r="5" ht="30.0" hidden="1" customHeight="1">
      <c r="A5" s="10"/>
      <c r="C5" s="13" t="s">
        <v>6</v>
      </c>
      <c r="D5" s="38"/>
      <c r="E5" s="18" t="s">
        <v>7</v>
      </c>
      <c r="F5" s="19"/>
      <c r="G5" s="19"/>
      <c r="H5" s="20"/>
      <c r="I5" s="38"/>
      <c r="J5" s="38"/>
      <c r="K5" s="38"/>
      <c r="L5" s="38"/>
      <c r="M5" s="4"/>
      <c r="N5" s="4"/>
      <c r="O5" s="4"/>
      <c r="P5" s="4"/>
      <c r="Q5" s="35"/>
      <c r="R5" s="35"/>
      <c r="S5" s="35"/>
      <c r="T5" s="35"/>
      <c r="U5" s="35"/>
      <c r="V5" s="35"/>
      <c r="W5" s="36"/>
      <c r="X5" s="35"/>
      <c r="Y5" s="36"/>
      <c r="Z5" s="35"/>
      <c r="AA5" s="35"/>
      <c r="AB5" s="35"/>
      <c r="AC5" s="35"/>
      <c r="AD5" s="35"/>
      <c r="AE5" s="35"/>
    </row>
    <row r="6" ht="15.75" hidden="1" customHeight="1">
      <c r="A6" s="4"/>
      <c r="B6" s="4"/>
      <c r="C6" s="4"/>
      <c r="D6" s="4"/>
      <c r="E6" s="4"/>
      <c r="F6" s="4"/>
      <c r="G6" s="4"/>
      <c r="H6" s="4"/>
      <c r="I6" s="4"/>
      <c r="J6" s="4"/>
      <c r="K6" s="4"/>
      <c r="L6" s="4"/>
      <c r="M6" s="4"/>
      <c r="N6" s="4"/>
      <c r="O6" s="4"/>
      <c r="P6" s="4"/>
      <c r="Q6" s="35"/>
      <c r="R6" s="35"/>
      <c r="S6" s="35"/>
      <c r="T6" s="35"/>
      <c r="U6" s="35"/>
      <c r="V6" s="35"/>
      <c r="W6" s="36"/>
      <c r="X6" s="35"/>
      <c r="Y6" s="36"/>
      <c r="Z6" s="35"/>
      <c r="AA6" s="35"/>
      <c r="AB6" s="35"/>
      <c r="AC6" s="35"/>
      <c r="AD6" s="35"/>
      <c r="AE6" s="35"/>
    </row>
    <row r="7" ht="15.75" hidden="1" customHeight="1">
      <c r="A7" s="4"/>
      <c r="B7" s="4"/>
      <c r="C7" s="4"/>
      <c r="D7" s="4"/>
      <c r="E7" s="4"/>
      <c r="F7" s="4"/>
      <c r="G7" s="4"/>
      <c r="H7" s="4"/>
      <c r="I7" s="4"/>
      <c r="J7" s="4"/>
      <c r="K7" s="4"/>
      <c r="L7" s="4"/>
      <c r="M7" s="4"/>
      <c r="N7" s="4"/>
      <c r="O7" s="4"/>
      <c r="P7" s="4"/>
      <c r="Q7" s="35"/>
      <c r="R7" s="35"/>
      <c r="S7" s="35"/>
      <c r="T7" s="35"/>
      <c r="U7" s="35"/>
      <c r="V7" s="35"/>
      <c r="W7" s="36"/>
      <c r="X7" s="35"/>
      <c r="Y7" s="36"/>
      <c r="Z7" s="35"/>
      <c r="AA7" s="35"/>
      <c r="AB7" s="35"/>
      <c r="AC7" s="35"/>
      <c r="AD7" s="35"/>
      <c r="AE7" s="35"/>
    </row>
    <row r="8" ht="15.75" hidden="1" customHeight="1">
      <c r="A8" s="4"/>
      <c r="B8" s="4"/>
      <c r="C8" s="4"/>
      <c r="D8" s="4"/>
      <c r="E8" s="4"/>
      <c r="F8" s="4"/>
      <c r="G8" s="4"/>
      <c r="H8" s="4"/>
      <c r="I8" s="4"/>
      <c r="J8" s="4"/>
      <c r="K8" s="4"/>
      <c r="L8" s="4"/>
      <c r="M8" s="4"/>
      <c r="N8" s="4"/>
      <c r="O8" s="4"/>
      <c r="P8" s="4"/>
      <c r="Q8" s="35"/>
      <c r="R8" s="35"/>
      <c r="S8" s="35"/>
      <c r="T8" s="35"/>
      <c r="U8" s="35"/>
      <c r="V8" s="35"/>
      <c r="W8" s="36"/>
      <c r="X8" s="35"/>
      <c r="Y8" s="36"/>
      <c r="Z8" s="35"/>
      <c r="AA8" s="35"/>
      <c r="AB8" s="35"/>
      <c r="AC8" s="35"/>
      <c r="AD8" s="35"/>
      <c r="AE8" s="35"/>
    </row>
    <row r="9" ht="15.75" hidden="1" customHeight="1">
      <c r="A9" s="4"/>
      <c r="B9" s="4"/>
      <c r="C9" s="4"/>
      <c r="D9" s="4"/>
      <c r="E9" s="4"/>
      <c r="F9" s="4"/>
      <c r="G9" s="4"/>
      <c r="H9" s="4"/>
      <c r="I9" s="4"/>
      <c r="J9" s="4"/>
      <c r="K9" s="4"/>
      <c r="L9" s="4"/>
      <c r="M9" s="4"/>
      <c r="N9" s="4"/>
      <c r="O9" s="4"/>
      <c r="P9" s="4"/>
      <c r="Q9" s="35"/>
      <c r="R9" s="35"/>
      <c r="S9" s="35"/>
      <c r="T9" s="35"/>
      <c r="U9" s="35"/>
      <c r="V9" s="35"/>
      <c r="W9" s="36"/>
      <c r="X9" s="35"/>
      <c r="Y9" s="36"/>
      <c r="Z9" s="35"/>
      <c r="AA9" s="35"/>
      <c r="AB9" s="35"/>
      <c r="AC9" s="35"/>
      <c r="AD9" s="35"/>
      <c r="AE9" s="35"/>
    </row>
    <row r="10" ht="15.75" hidden="1" customHeight="1">
      <c r="A10" s="4"/>
      <c r="B10" s="4"/>
      <c r="C10" s="4"/>
      <c r="D10" s="4"/>
      <c r="E10" s="4"/>
      <c r="F10" s="54">
        <f>SUBTOTAL(9,F21:F344)</f>
        <v>34839870.92</v>
      </c>
      <c r="G10" s="49">
        <f>F10*0.8</f>
        <v>27871896.74</v>
      </c>
      <c r="H10" s="4"/>
      <c r="I10" s="4"/>
      <c r="J10" s="4"/>
      <c r="K10" s="4"/>
      <c r="L10" s="4"/>
      <c r="M10" s="4"/>
      <c r="N10" s="4"/>
      <c r="O10" s="4"/>
      <c r="P10" s="4"/>
      <c r="Q10" s="35"/>
      <c r="R10" s="35"/>
      <c r="S10" s="35"/>
      <c r="T10" s="35"/>
      <c r="U10" s="35"/>
      <c r="V10" s="35"/>
      <c r="W10" s="36"/>
      <c r="X10" s="35"/>
      <c r="Y10" s="53"/>
      <c r="Z10" s="35"/>
      <c r="AA10" s="35"/>
      <c r="AB10" s="35"/>
      <c r="AC10" s="35"/>
      <c r="AD10" s="35"/>
      <c r="AE10" s="35"/>
    </row>
    <row r="11" ht="50.25" customHeight="1">
      <c r="A11" s="39" t="s">
        <v>21</v>
      </c>
      <c r="B11" s="39" t="s">
        <v>22</v>
      </c>
      <c r="C11" s="39" t="s">
        <v>23</v>
      </c>
      <c r="D11" s="55" t="s">
        <v>24</v>
      </c>
      <c r="E11" s="55" t="s">
        <v>25</v>
      </c>
      <c r="F11" s="55" t="s">
        <v>26</v>
      </c>
      <c r="G11" s="55" t="s">
        <v>27</v>
      </c>
      <c r="H11" s="39" t="s">
        <v>28</v>
      </c>
      <c r="I11" s="56" t="s">
        <v>29</v>
      </c>
      <c r="J11" s="19"/>
      <c r="K11" s="20"/>
      <c r="L11" s="55" t="s">
        <v>30</v>
      </c>
      <c r="M11" s="57" t="s">
        <v>31</v>
      </c>
      <c r="N11" s="39" t="s">
        <v>32</v>
      </c>
      <c r="O11" s="39" t="s">
        <v>33</v>
      </c>
      <c r="P11" s="39" t="s">
        <v>34</v>
      </c>
      <c r="Q11" s="39" t="s">
        <v>35</v>
      </c>
      <c r="R11" s="39" t="s">
        <v>36</v>
      </c>
      <c r="S11" s="39" t="s">
        <v>37</v>
      </c>
      <c r="T11" s="39" t="s">
        <v>38</v>
      </c>
      <c r="U11" s="39" t="s">
        <v>39</v>
      </c>
      <c r="V11" s="39" t="s">
        <v>40</v>
      </c>
      <c r="W11" s="58" t="s">
        <v>41</v>
      </c>
      <c r="X11" s="39" t="s">
        <v>42</v>
      </c>
      <c r="Y11" s="58" t="s">
        <v>43</v>
      </c>
      <c r="Z11" s="39" t="s">
        <v>44</v>
      </c>
      <c r="AA11" s="39" t="s">
        <v>45</v>
      </c>
      <c r="AB11" s="39" t="s">
        <v>46</v>
      </c>
      <c r="AC11" s="39" t="s">
        <v>47</v>
      </c>
      <c r="AD11" s="39" t="s">
        <v>48</v>
      </c>
      <c r="AE11" s="39"/>
    </row>
    <row r="12" ht="60.75" customHeight="1">
      <c r="A12" s="59"/>
      <c r="B12" s="59" t="s">
        <v>49</v>
      </c>
      <c r="C12" s="60" t="s">
        <v>50</v>
      </c>
      <c r="D12" s="61" t="s">
        <v>51</v>
      </c>
      <c r="E12" s="61">
        <v>1.0</v>
      </c>
      <c r="F12" s="62">
        <v>600000.0</v>
      </c>
      <c r="G12" s="64" t="s">
        <v>53</v>
      </c>
      <c r="H12" s="65">
        <v>46266.0</v>
      </c>
      <c r="I12" s="66" t="s">
        <v>17</v>
      </c>
      <c r="J12" s="66" t="s">
        <v>54</v>
      </c>
      <c r="K12" s="66" t="s">
        <v>55</v>
      </c>
      <c r="L12" s="66" t="s">
        <v>56</v>
      </c>
      <c r="M12" s="66" t="s">
        <v>57</v>
      </c>
      <c r="N12" s="59" t="s">
        <v>20</v>
      </c>
      <c r="O12" s="59" t="s">
        <v>59</v>
      </c>
      <c r="P12" s="59"/>
      <c r="Q12" s="59" t="s">
        <v>60</v>
      </c>
      <c r="R12" s="67" t="s">
        <v>61</v>
      </c>
      <c r="S12" s="68"/>
      <c r="T12" s="68"/>
      <c r="U12" s="70" t="str">
        <f t="array" ref="U12">IFERROR(INDEX(DFD!$D$2:$D$1048791,MATCH($Q12,DFD!$B$2:$B$1048791,0)),"")</f>
        <v/>
      </c>
      <c r="V12" s="70" t="s">
        <v>62</v>
      </c>
      <c r="W12" s="75" t="str">
        <f t="array" ref="W12">IFERROR(INDEX(DFD!$E$2:$E$1048791,MATCH($Q12,DFD!$B$2:$B$1048791,0)),"")</f>
        <v/>
      </c>
      <c r="X12" s="75" t="str">
        <f t="array" ref="X12">IFERROR(INDEX(DFD!$K$2:$K$1048791,MATCH($Q12,DFD!$B$2:$B$1048791,0)),"")</f>
        <v/>
      </c>
      <c r="Y12" s="75" t="str">
        <f t="array" ref="Y12">IFERROR(INDEX(DFD!$L$2:$L$1048790,MATCH($Q12,DFD!$B$2:$B$1048790,0)),"")</f>
        <v/>
      </c>
      <c r="Z12" s="75">
        <f t="shared" ref="Z12:Z70" si="1">Y12+45</f>
        <v>45</v>
      </c>
      <c r="AA12" s="68"/>
      <c r="AB12" s="68" t="s">
        <v>72</v>
      </c>
      <c r="AC12" s="68"/>
      <c r="AD12" s="78">
        <v>46043.0</v>
      </c>
      <c r="AE12" s="79">
        <f t="shared" ref="AE12:AE60" si="2">SUBTOTAL(103, R12)</f>
        <v>1</v>
      </c>
    </row>
    <row r="13" ht="60.75" customHeight="1">
      <c r="A13" s="67"/>
      <c r="B13" s="67" t="s">
        <v>73</v>
      </c>
      <c r="C13" s="80" t="s">
        <v>74</v>
      </c>
      <c r="D13" s="81" t="s">
        <v>51</v>
      </c>
      <c r="E13" s="81">
        <v>1.0</v>
      </c>
      <c r="F13" s="82">
        <v>660000.0</v>
      </c>
      <c r="G13" s="64" t="s">
        <v>53</v>
      </c>
      <c r="H13" s="83">
        <v>46266.0</v>
      </c>
      <c r="I13" s="67" t="s">
        <v>18</v>
      </c>
      <c r="J13" s="67"/>
      <c r="K13" s="67"/>
      <c r="L13" s="67"/>
      <c r="M13" s="66" t="s">
        <v>75</v>
      </c>
      <c r="N13" s="59" t="s">
        <v>20</v>
      </c>
      <c r="O13" s="59" t="s">
        <v>59</v>
      </c>
      <c r="P13" s="59"/>
      <c r="Q13" s="59" t="s">
        <v>76</v>
      </c>
      <c r="R13" s="67" t="s">
        <v>77</v>
      </c>
      <c r="S13" s="68"/>
      <c r="T13" s="68"/>
      <c r="U13" s="70" t="str">
        <f t="array" ref="U13">IFERROR(INDEX(DFD!$D$2:$D$1048791,MATCH($Q13,DFD!$B$2:$B$1048791,0)),"")</f>
        <v/>
      </c>
      <c r="V13" s="70" t="str">
        <f t="array" ref="V13">IFERROR(INDEX(DFD!$F$2:$F$1048791,MATCH($Q13,DFD!$B$2:$B$1048791,0)),"")</f>
        <v/>
      </c>
      <c r="W13" s="75" t="str">
        <f t="array" ref="W13">IFERROR(INDEX(DFD!$E$2:$E$1048791,MATCH($Q13,DFD!$B$2:$B$1048791,0)),"")</f>
        <v/>
      </c>
      <c r="X13" s="75" t="str">
        <f t="array" ref="X13">IFERROR(INDEX(DFD!$K$2:$K$1048791,MATCH($Q13,DFD!$B$2:$B$1048791,0)),"")</f>
        <v/>
      </c>
      <c r="Y13" s="75" t="str">
        <f t="array" ref="Y13">IFERROR(INDEX(DFD!$L$2:$L$1048790,MATCH($Q13,DFD!$B$2:$B$1048790,0)),"")</f>
        <v/>
      </c>
      <c r="Z13" s="75">
        <f t="shared" si="1"/>
        <v>45</v>
      </c>
      <c r="AA13" s="68"/>
      <c r="AB13" s="68" t="s">
        <v>72</v>
      </c>
      <c r="AC13" s="68"/>
      <c r="AD13" s="78">
        <v>46043.0</v>
      </c>
      <c r="AE13" s="79">
        <f t="shared" si="2"/>
        <v>1</v>
      </c>
    </row>
    <row r="14" ht="60.75" customHeight="1">
      <c r="A14" s="67"/>
      <c r="B14" s="67" t="s">
        <v>81</v>
      </c>
      <c r="C14" s="81" t="s">
        <v>82</v>
      </c>
      <c r="D14" s="95" t="s">
        <v>51</v>
      </c>
      <c r="E14" s="95">
        <v>2.0</v>
      </c>
      <c r="F14" s="96">
        <v>1000.0</v>
      </c>
      <c r="G14" s="64" t="s">
        <v>53</v>
      </c>
      <c r="H14" s="98">
        <v>46174.0</v>
      </c>
      <c r="I14" s="66" t="s">
        <v>18</v>
      </c>
      <c r="J14" s="66" t="s">
        <v>54</v>
      </c>
      <c r="K14" s="66" t="s">
        <v>83</v>
      </c>
      <c r="L14" s="66" t="s">
        <v>56</v>
      </c>
      <c r="M14" s="66" t="s">
        <v>84</v>
      </c>
      <c r="N14" s="67" t="s">
        <v>20</v>
      </c>
      <c r="O14" s="59" t="s">
        <v>59</v>
      </c>
      <c r="P14" s="59"/>
      <c r="Q14" s="59" t="s">
        <v>85</v>
      </c>
      <c r="R14" s="67" t="s">
        <v>86</v>
      </c>
      <c r="S14" s="68"/>
      <c r="T14" s="68"/>
      <c r="U14" s="70" t="str">
        <f t="array" ref="U14">IFERROR(INDEX(DFD!$D$2:$D$1048791,MATCH($Q14,DFD!$B$2:$B$1048791,0)),"")</f>
        <v/>
      </c>
      <c r="V14" s="70" t="str">
        <f t="array" ref="V14">IFERROR(INDEX(DFD!$F$2:$F$1048791,MATCH($Q14,DFD!$B$2:$B$1048791,0)),"")</f>
        <v/>
      </c>
      <c r="W14" s="75" t="str">
        <f t="array" ref="W14">IFERROR(INDEX(DFD!$E$2:$E$1048791,MATCH($Q14,DFD!$B$2:$B$1048791,0)),"")</f>
        <v/>
      </c>
      <c r="X14" s="75" t="str">
        <f t="array" ref="X14">IFERROR(INDEX(DFD!$K$2:$K$1048791,MATCH($Q14,DFD!$B$2:$B$1048791,0)),"")</f>
        <v/>
      </c>
      <c r="Y14" s="75" t="str">
        <f t="array" ref="Y14">IFERROR(INDEX(DFD!$L$2:$L$1048790,MATCH($Q14,DFD!$B$2:$B$1048790,0)),"")</f>
        <v/>
      </c>
      <c r="Z14" s="75">
        <f t="shared" si="1"/>
        <v>45</v>
      </c>
      <c r="AA14" s="68"/>
      <c r="AB14" s="68" t="s">
        <v>72</v>
      </c>
      <c r="AC14" s="68"/>
      <c r="AD14" s="78">
        <v>46043.0</v>
      </c>
      <c r="AE14" s="79">
        <f t="shared" si="2"/>
        <v>1</v>
      </c>
    </row>
    <row r="15" ht="60.75" customHeight="1">
      <c r="A15" s="67"/>
      <c r="B15" s="67" t="s">
        <v>92</v>
      </c>
      <c r="C15" s="102" t="s">
        <v>82</v>
      </c>
      <c r="D15" s="95" t="s">
        <v>51</v>
      </c>
      <c r="E15" s="95">
        <v>1.0</v>
      </c>
      <c r="F15" s="96">
        <v>500.0</v>
      </c>
      <c r="G15" s="64" t="s">
        <v>53</v>
      </c>
      <c r="H15" s="98">
        <v>46174.0</v>
      </c>
      <c r="I15" s="66" t="s">
        <v>18</v>
      </c>
      <c r="J15" s="66" t="s">
        <v>54</v>
      </c>
      <c r="K15" s="66" t="s">
        <v>83</v>
      </c>
      <c r="L15" s="66" t="s">
        <v>56</v>
      </c>
      <c r="M15" s="66" t="s">
        <v>84</v>
      </c>
      <c r="N15" s="67" t="s">
        <v>20</v>
      </c>
      <c r="O15" s="59" t="s">
        <v>59</v>
      </c>
      <c r="P15" s="59"/>
      <c r="Q15" s="59" t="s">
        <v>85</v>
      </c>
      <c r="R15" s="67" t="s">
        <v>86</v>
      </c>
      <c r="S15" s="68"/>
      <c r="T15" s="68"/>
      <c r="U15" s="70" t="str">
        <f t="array" ref="U15">IFERROR(INDEX(DFD!$D$2:$D$1048791,MATCH($Q15,DFD!$B$2:$B$1048791,0)),"")</f>
        <v/>
      </c>
      <c r="V15" s="70" t="str">
        <f t="array" ref="V15">IFERROR(INDEX(DFD!$F$2:$F$1048791,MATCH($Q15,DFD!$B$2:$B$1048791,0)),"")</f>
        <v/>
      </c>
      <c r="W15" s="75" t="str">
        <f t="array" ref="W15">IFERROR(INDEX(DFD!$E$2:$E$1048791,MATCH($Q15,DFD!$B$2:$B$1048791,0)),"")</f>
        <v/>
      </c>
      <c r="X15" s="75" t="str">
        <f t="array" ref="X15">IFERROR(INDEX(DFD!$K$2:$K$1048791,MATCH($Q15,DFD!$B$2:$B$1048791,0)),"")</f>
        <v/>
      </c>
      <c r="Y15" s="75" t="str">
        <f t="array" ref="Y15">IFERROR(INDEX(DFD!$L$2:$L$1048790,MATCH($Q15,DFD!$B$2:$B$1048790,0)),"")</f>
        <v/>
      </c>
      <c r="Z15" s="75">
        <f t="shared" si="1"/>
        <v>45</v>
      </c>
      <c r="AA15" s="68"/>
      <c r="AB15" s="68" t="s">
        <v>72</v>
      </c>
      <c r="AC15" s="68"/>
      <c r="AD15" s="78">
        <v>46043.0</v>
      </c>
      <c r="AE15" s="79">
        <f t="shared" si="2"/>
        <v>1</v>
      </c>
    </row>
    <row r="16" ht="60.75" customHeight="1">
      <c r="A16" s="67"/>
      <c r="B16" s="67" t="s">
        <v>95</v>
      </c>
      <c r="C16" s="81" t="s">
        <v>96</v>
      </c>
      <c r="D16" s="95" t="s">
        <v>51</v>
      </c>
      <c r="E16" s="95">
        <v>1.0</v>
      </c>
      <c r="F16" s="96">
        <v>500.0</v>
      </c>
      <c r="G16" s="64" t="s">
        <v>53</v>
      </c>
      <c r="H16" s="98">
        <v>46174.0</v>
      </c>
      <c r="I16" s="66" t="s">
        <v>18</v>
      </c>
      <c r="J16" s="66" t="s">
        <v>54</v>
      </c>
      <c r="K16" s="66" t="s">
        <v>83</v>
      </c>
      <c r="L16" s="66" t="s">
        <v>56</v>
      </c>
      <c r="M16" s="66" t="s">
        <v>84</v>
      </c>
      <c r="N16" s="67" t="s">
        <v>20</v>
      </c>
      <c r="O16" s="59" t="s">
        <v>59</v>
      </c>
      <c r="P16" s="59"/>
      <c r="Q16" s="59" t="s">
        <v>85</v>
      </c>
      <c r="R16" s="67" t="s">
        <v>86</v>
      </c>
      <c r="S16" s="68"/>
      <c r="T16" s="68"/>
      <c r="U16" s="70" t="str">
        <f t="array" ref="U16">IFERROR(INDEX(DFD!$D$2:$D$1048791,MATCH($Q16,DFD!$B$2:$B$1048791,0)),"")</f>
        <v/>
      </c>
      <c r="V16" s="70" t="str">
        <f t="array" ref="V16">IFERROR(INDEX(DFD!$F$2:$F$1048791,MATCH($Q16,DFD!$B$2:$B$1048791,0)),"")</f>
        <v/>
      </c>
      <c r="W16" s="75" t="str">
        <f t="array" ref="W16">IFERROR(INDEX(DFD!$E$2:$E$1048791,MATCH($Q16,DFD!$B$2:$B$1048791,0)),"")</f>
        <v/>
      </c>
      <c r="X16" s="75" t="str">
        <f t="array" ref="X16">IFERROR(INDEX(DFD!$K$2:$K$1048791,MATCH($Q16,DFD!$B$2:$B$1048791,0)),"")</f>
        <v/>
      </c>
      <c r="Y16" s="75" t="str">
        <f t="array" ref="Y16">IFERROR(INDEX(DFD!$L$2:$L$1048790,MATCH($Q16,DFD!$B$2:$B$1048790,0)),"")</f>
        <v/>
      </c>
      <c r="Z16" s="75">
        <f t="shared" si="1"/>
        <v>45</v>
      </c>
      <c r="AA16" s="68"/>
      <c r="AB16" s="68" t="s">
        <v>72</v>
      </c>
      <c r="AC16" s="68"/>
      <c r="AD16" s="78">
        <v>46043.0</v>
      </c>
      <c r="AE16" s="79">
        <f t="shared" si="2"/>
        <v>1</v>
      </c>
    </row>
    <row r="17" ht="60.75" customHeight="1">
      <c r="A17" s="67"/>
      <c r="B17" s="67" t="s">
        <v>99</v>
      </c>
      <c r="C17" s="81" t="s">
        <v>96</v>
      </c>
      <c r="D17" s="95" t="s">
        <v>51</v>
      </c>
      <c r="E17" s="95">
        <v>1.0</v>
      </c>
      <c r="F17" s="96">
        <v>430.0</v>
      </c>
      <c r="G17" s="64" t="s">
        <v>53</v>
      </c>
      <c r="H17" s="98">
        <v>46174.0</v>
      </c>
      <c r="I17" s="66" t="s">
        <v>18</v>
      </c>
      <c r="J17" s="66" t="s">
        <v>54</v>
      </c>
      <c r="K17" s="66" t="s">
        <v>83</v>
      </c>
      <c r="L17" s="66" t="s">
        <v>56</v>
      </c>
      <c r="M17" s="66" t="s">
        <v>84</v>
      </c>
      <c r="N17" s="67" t="s">
        <v>20</v>
      </c>
      <c r="O17" s="59" t="s">
        <v>59</v>
      </c>
      <c r="P17" s="59"/>
      <c r="Q17" s="59" t="s">
        <v>85</v>
      </c>
      <c r="R17" s="67" t="s">
        <v>86</v>
      </c>
      <c r="S17" s="68"/>
      <c r="T17" s="68"/>
      <c r="U17" s="70" t="str">
        <f t="array" ref="U17">IFERROR(INDEX(DFD!$D$2:$D$1048791,MATCH($Q17,DFD!$B$2:$B$1048791,0)),"")</f>
        <v/>
      </c>
      <c r="V17" s="70" t="str">
        <f t="array" ref="V17">IFERROR(INDEX(DFD!$F$2:$F$1048791,MATCH($Q17,DFD!$B$2:$B$1048791,0)),"")</f>
        <v/>
      </c>
      <c r="W17" s="75" t="str">
        <f t="array" ref="W17">IFERROR(INDEX(DFD!$E$2:$E$1048791,MATCH($Q17,DFD!$B$2:$B$1048791,0)),"")</f>
        <v/>
      </c>
      <c r="X17" s="75" t="str">
        <f t="array" ref="X17">IFERROR(INDEX(DFD!$K$2:$K$1048791,MATCH($Q17,DFD!$B$2:$B$1048791,0)),"")</f>
        <v/>
      </c>
      <c r="Y17" s="75" t="str">
        <f t="array" ref="Y17">IFERROR(INDEX(DFD!$L$2:$L$1048790,MATCH($Q17,DFD!$B$2:$B$1048790,0)),"")</f>
        <v/>
      </c>
      <c r="Z17" s="75">
        <f t="shared" si="1"/>
        <v>45</v>
      </c>
      <c r="AA17" s="68"/>
      <c r="AB17" s="68" t="s">
        <v>72</v>
      </c>
      <c r="AC17" s="68"/>
      <c r="AD17" s="78">
        <v>46043.0</v>
      </c>
      <c r="AE17" s="79">
        <f t="shared" si="2"/>
        <v>1</v>
      </c>
    </row>
    <row r="18" ht="60.75" customHeight="1">
      <c r="A18" s="67"/>
      <c r="B18" s="66" t="s">
        <v>64</v>
      </c>
      <c r="C18" s="81" t="s">
        <v>102</v>
      </c>
      <c r="D18" s="95" t="s">
        <v>51</v>
      </c>
      <c r="E18" s="95">
        <v>4.0</v>
      </c>
      <c r="F18" s="96">
        <v>10400.0</v>
      </c>
      <c r="G18" s="64" t="s">
        <v>53</v>
      </c>
      <c r="H18" s="98">
        <v>46235.0</v>
      </c>
      <c r="I18" s="66" t="s">
        <v>18</v>
      </c>
      <c r="J18" s="66" t="s">
        <v>54</v>
      </c>
      <c r="K18" s="66" t="s">
        <v>83</v>
      </c>
      <c r="L18" s="66" t="s">
        <v>56</v>
      </c>
      <c r="M18" s="66" t="s">
        <v>84</v>
      </c>
      <c r="N18" s="67" t="s">
        <v>20</v>
      </c>
      <c r="O18" s="59" t="s">
        <v>59</v>
      </c>
      <c r="P18" s="59"/>
      <c r="Q18" s="59" t="s">
        <v>85</v>
      </c>
      <c r="R18" s="67" t="s">
        <v>86</v>
      </c>
      <c r="S18" s="68"/>
      <c r="T18" s="68"/>
      <c r="U18" s="70" t="str">
        <f t="array" ref="U18">IFERROR(INDEX(DFD!$D$2:$D$1048791,MATCH($Q18,DFD!$B$2:$B$1048791,0)),"")</f>
        <v/>
      </c>
      <c r="V18" s="70" t="str">
        <f t="array" ref="V18">IFERROR(INDEX(DFD!$F$2:$F$1048791,MATCH($Q18,DFD!$B$2:$B$1048791,0)),"")</f>
        <v/>
      </c>
      <c r="W18" s="75" t="str">
        <f t="array" ref="W18">IFERROR(INDEX(DFD!$E$2:$E$1048791,MATCH($Q18,DFD!$B$2:$B$1048791,0)),"")</f>
        <v/>
      </c>
      <c r="X18" s="75" t="str">
        <f t="array" ref="X18">IFERROR(INDEX(DFD!$K$2:$K$1048791,MATCH($Q18,DFD!$B$2:$B$1048791,0)),"")</f>
        <v/>
      </c>
      <c r="Y18" s="75" t="str">
        <f t="array" ref="Y18">IFERROR(INDEX(DFD!$L$2:$L$1048790,MATCH($Q18,DFD!$B$2:$B$1048790,0)),"")</f>
        <v/>
      </c>
      <c r="Z18" s="75">
        <f t="shared" si="1"/>
        <v>45</v>
      </c>
      <c r="AA18" s="68"/>
      <c r="AB18" s="68" t="s">
        <v>72</v>
      </c>
      <c r="AC18" s="68"/>
      <c r="AD18" s="78">
        <v>46043.0</v>
      </c>
      <c r="AE18" s="79">
        <f t="shared" si="2"/>
        <v>1</v>
      </c>
    </row>
    <row r="19" ht="60.75" customHeight="1">
      <c r="A19" s="67"/>
      <c r="B19" s="104" t="s">
        <v>105</v>
      </c>
      <c r="C19" s="81" t="s">
        <v>102</v>
      </c>
      <c r="D19" s="95" t="s">
        <v>51</v>
      </c>
      <c r="E19" s="95">
        <v>2.0</v>
      </c>
      <c r="F19" s="96">
        <v>5200.0</v>
      </c>
      <c r="G19" s="64" t="s">
        <v>53</v>
      </c>
      <c r="H19" s="98">
        <v>46204.0</v>
      </c>
      <c r="I19" s="66" t="s">
        <v>18</v>
      </c>
      <c r="J19" s="66" t="s">
        <v>54</v>
      </c>
      <c r="K19" s="66" t="s">
        <v>83</v>
      </c>
      <c r="L19" s="66" t="s">
        <v>56</v>
      </c>
      <c r="M19" s="66" t="s">
        <v>84</v>
      </c>
      <c r="N19" s="67" t="s">
        <v>20</v>
      </c>
      <c r="O19" s="59" t="s">
        <v>59</v>
      </c>
      <c r="P19" s="59"/>
      <c r="Q19" s="59" t="s">
        <v>85</v>
      </c>
      <c r="R19" s="67" t="s">
        <v>86</v>
      </c>
      <c r="S19" s="68"/>
      <c r="T19" s="68"/>
      <c r="U19" s="70" t="str">
        <f t="array" ref="U19">IFERROR(INDEX(DFD!$D$2:$D$1048791,MATCH($Q19,DFD!$B$2:$B$1048791,0)),"")</f>
        <v/>
      </c>
      <c r="V19" s="70" t="str">
        <f t="array" ref="V19">IFERROR(INDEX(DFD!$F$2:$F$1048791,MATCH($Q19,DFD!$B$2:$B$1048791,0)),"")</f>
        <v/>
      </c>
      <c r="W19" s="75" t="str">
        <f t="array" ref="W19">IFERROR(INDEX(DFD!$E$2:$E$1048791,MATCH($Q19,DFD!$B$2:$B$1048791,0)),"")</f>
        <v/>
      </c>
      <c r="X19" s="75" t="str">
        <f t="array" ref="X19">IFERROR(INDEX(DFD!$K$2:$K$1048791,MATCH($Q19,DFD!$B$2:$B$1048791,0)),"")</f>
        <v/>
      </c>
      <c r="Y19" s="75" t="str">
        <f t="array" ref="Y19">IFERROR(INDEX(DFD!$L$2:$L$1048790,MATCH($Q19,DFD!$B$2:$B$1048790,0)),"")</f>
        <v/>
      </c>
      <c r="Z19" s="75">
        <f t="shared" si="1"/>
        <v>45</v>
      </c>
      <c r="AA19" s="68"/>
      <c r="AB19" s="68" t="s">
        <v>72</v>
      </c>
      <c r="AC19" s="68"/>
      <c r="AD19" s="78">
        <v>46043.0</v>
      </c>
      <c r="AE19" s="79">
        <f t="shared" si="2"/>
        <v>1</v>
      </c>
    </row>
    <row r="20" ht="60.75" customHeight="1">
      <c r="A20" s="67"/>
      <c r="B20" s="67" t="s">
        <v>92</v>
      </c>
      <c r="C20" s="81" t="s">
        <v>102</v>
      </c>
      <c r="D20" s="95" t="s">
        <v>51</v>
      </c>
      <c r="E20" s="95">
        <v>2.0</v>
      </c>
      <c r="F20" s="96">
        <v>5200.0</v>
      </c>
      <c r="G20" s="64" t="s">
        <v>53</v>
      </c>
      <c r="H20" s="98">
        <v>46204.0</v>
      </c>
      <c r="I20" s="66" t="s">
        <v>18</v>
      </c>
      <c r="J20" s="66" t="s">
        <v>54</v>
      </c>
      <c r="K20" s="66" t="s">
        <v>83</v>
      </c>
      <c r="L20" s="66" t="s">
        <v>56</v>
      </c>
      <c r="M20" s="66" t="s">
        <v>84</v>
      </c>
      <c r="N20" s="67" t="s">
        <v>20</v>
      </c>
      <c r="O20" s="59" t="s">
        <v>59</v>
      </c>
      <c r="P20" s="59"/>
      <c r="Q20" s="59" t="s">
        <v>85</v>
      </c>
      <c r="R20" s="67" t="s">
        <v>86</v>
      </c>
      <c r="S20" s="68"/>
      <c r="T20" s="68"/>
      <c r="U20" s="70" t="str">
        <f t="array" ref="U20">IFERROR(INDEX(DFD!$D$2:$D$1048791,MATCH($Q20,DFD!$B$2:$B$1048791,0)),"")</f>
        <v/>
      </c>
      <c r="V20" s="70" t="str">
        <f t="array" ref="V20">IFERROR(INDEX(DFD!$F$2:$F$1048791,MATCH($Q20,DFD!$B$2:$B$1048791,0)),"")</f>
        <v/>
      </c>
      <c r="W20" s="75" t="str">
        <f t="array" ref="W20">IFERROR(INDEX(DFD!$E$2:$E$1048791,MATCH($Q20,DFD!$B$2:$B$1048791,0)),"")</f>
        <v/>
      </c>
      <c r="X20" s="75" t="str">
        <f t="array" ref="X20">IFERROR(INDEX(DFD!$K$2:$K$1048791,MATCH($Q20,DFD!$B$2:$B$1048791,0)),"")</f>
        <v/>
      </c>
      <c r="Y20" s="75" t="str">
        <f t="array" ref="Y20">IFERROR(INDEX(DFD!$L$2:$L$1048790,MATCH($Q20,DFD!$B$2:$B$1048790,0)),"")</f>
        <v/>
      </c>
      <c r="Z20" s="75">
        <f t="shared" si="1"/>
        <v>45</v>
      </c>
      <c r="AA20" s="68"/>
      <c r="AB20" s="68" t="s">
        <v>72</v>
      </c>
      <c r="AC20" s="68"/>
      <c r="AD20" s="78">
        <v>46043.0</v>
      </c>
      <c r="AE20" s="79">
        <f t="shared" si="2"/>
        <v>1</v>
      </c>
    </row>
    <row r="21" ht="81.75" customHeight="1">
      <c r="A21" s="67"/>
      <c r="B21" s="67" t="s">
        <v>109</v>
      </c>
      <c r="C21" s="81" t="s">
        <v>102</v>
      </c>
      <c r="D21" s="95" t="s">
        <v>51</v>
      </c>
      <c r="E21" s="95">
        <v>2.0</v>
      </c>
      <c r="F21" s="96">
        <v>5200.0</v>
      </c>
      <c r="G21" s="64" t="s">
        <v>53</v>
      </c>
      <c r="H21" s="98">
        <v>46204.0</v>
      </c>
      <c r="I21" s="66" t="s">
        <v>18</v>
      </c>
      <c r="J21" s="66" t="s">
        <v>54</v>
      </c>
      <c r="K21" s="66" t="s">
        <v>83</v>
      </c>
      <c r="L21" s="66" t="s">
        <v>56</v>
      </c>
      <c r="M21" s="66" t="s">
        <v>84</v>
      </c>
      <c r="N21" s="67" t="s">
        <v>20</v>
      </c>
      <c r="O21" s="59" t="s">
        <v>59</v>
      </c>
      <c r="P21" s="59"/>
      <c r="Q21" s="59" t="s">
        <v>85</v>
      </c>
      <c r="R21" s="67" t="s">
        <v>86</v>
      </c>
      <c r="S21" s="68"/>
      <c r="T21" s="68"/>
      <c r="U21" s="70" t="str">
        <f t="array" ref="U21">IFERROR(INDEX(DFD!$D$2:$D$1048791,MATCH($Q21,DFD!$B$2:$B$1048791,0)),"")</f>
        <v/>
      </c>
      <c r="V21" s="70" t="str">
        <f t="array" ref="V21">IFERROR(INDEX(DFD!$F$2:$F$1048791,MATCH($Q21,DFD!$B$2:$B$1048791,0)),"")</f>
        <v/>
      </c>
      <c r="W21" s="75" t="str">
        <f t="array" ref="W21">IFERROR(INDEX(DFD!$E$2:$E$1048791,MATCH($Q21,DFD!$B$2:$B$1048791,0)),"")</f>
        <v/>
      </c>
      <c r="X21" s="75" t="str">
        <f t="array" ref="X21">IFERROR(INDEX(DFD!$K$2:$K$1048791,MATCH($Q21,DFD!$B$2:$B$1048791,0)),"")</f>
        <v/>
      </c>
      <c r="Y21" s="75" t="str">
        <f t="array" ref="Y21">IFERROR(INDEX(DFD!$L$2:$L$1048790,MATCH($Q21,DFD!$B$2:$B$1048790,0)),"")</f>
        <v/>
      </c>
      <c r="Z21" s="75">
        <f t="shared" si="1"/>
        <v>45</v>
      </c>
      <c r="AA21" s="68"/>
      <c r="AB21" s="68" t="s">
        <v>72</v>
      </c>
      <c r="AC21" s="68"/>
      <c r="AD21" s="78">
        <v>46043.0</v>
      </c>
      <c r="AE21" s="79">
        <f t="shared" si="2"/>
        <v>1</v>
      </c>
    </row>
    <row r="22" ht="60.75" customHeight="1">
      <c r="A22" s="67"/>
      <c r="B22" s="67" t="s">
        <v>91</v>
      </c>
      <c r="C22" s="81" t="s">
        <v>102</v>
      </c>
      <c r="D22" s="95" t="s">
        <v>51</v>
      </c>
      <c r="E22" s="95">
        <v>1.0</v>
      </c>
      <c r="F22" s="96">
        <v>2600.0</v>
      </c>
      <c r="G22" s="64" t="s">
        <v>53</v>
      </c>
      <c r="H22" s="98">
        <v>46174.0</v>
      </c>
      <c r="I22" s="66" t="s">
        <v>18</v>
      </c>
      <c r="J22" s="66" t="s">
        <v>54</v>
      </c>
      <c r="K22" s="66" t="s">
        <v>83</v>
      </c>
      <c r="L22" s="66" t="s">
        <v>56</v>
      </c>
      <c r="M22" s="66" t="s">
        <v>84</v>
      </c>
      <c r="N22" s="67" t="s">
        <v>20</v>
      </c>
      <c r="O22" s="59" t="s">
        <v>59</v>
      </c>
      <c r="P22" s="59"/>
      <c r="Q22" s="59" t="s">
        <v>85</v>
      </c>
      <c r="R22" s="92" t="s">
        <v>86</v>
      </c>
      <c r="S22" s="68"/>
      <c r="T22" s="68"/>
      <c r="U22" s="70" t="str">
        <f t="array" ref="U22">IFERROR(INDEX(DFD!$D$2:$D$1048791,MATCH($Q22,DFD!$B$2:$B$1048791,0)),"")</f>
        <v/>
      </c>
      <c r="V22" s="70" t="str">
        <f t="array" ref="V22">IFERROR(INDEX(DFD!$F$2:$F$1048791,MATCH($Q22,DFD!$B$2:$B$1048791,0)),"")</f>
        <v/>
      </c>
      <c r="W22" s="75" t="str">
        <f t="array" ref="W22">IFERROR(INDEX(DFD!$E$2:$E$1048791,MATCH($Q22,DFD!$B$2:$B$1048791,0)),"")</f>
        <v/>
      </c>
      <c r="X22" s="75" t="str">
        <f t="array" ref="X22">IFERROR(INDEX(DFD!$K$2:$K$1048791,MATCH($Q22,DFD!$B$2:$B$1048791,0)),"")</f>
        <v/>
      </c>
      <c r="Y22" s="75" t="str">
        <f t="array" ref="Y22">IFERROR(INDEX(DFD!$L$2:$L$1048790,MATCH($Q22,DFD!$B$2:$B$1048790,0)),"")</f>
        <v/>
      </c>
      <c r="Z22" s="75">
        <f t="shared" si="1"/>
        <v>45</v>
      </c>
      <c r="AA22" s="68"/>
      <c r="AB22" s="68" t="s">
        <v>72</v>
      </c>
      <c r="AC22" s="68"/>
      <c r="AD22" s="78">
        <v>46043.0</v>
      </c>
      <c r="AE22" s="79">
        <f t="shared" si="2"/>
        <v>1</v>
      </c>
    </row>
    <row r="23" ht="60.75" customHeight="1">
      <c r="A23" s="67"/>
      <c r="B23" s="67" t="s">
        <v>80</v>
      </c>
      <c r="C23" s="102" t="s">
        <v>102</v>
      </c>
      <c r="D23" s="95" t="s">
        <v>51</v>
      </c>
      <c r="E23" s="95">
        <v>1.0</v>
      </c>
      <c r="F23" s="96">
        <v>2600.0</v>
      </c>
      <c r="G23" s="64" t="s">
        <v>53</v>
      </c>
      <c r="H23" s="98">
        <v>46174.0</v>
      </c>
      <c r="I23" s="66" t="s">
        <v>18</v>
      </c>
      <c r="J23" s="66" t="s">
        <v>54</v>
      </c>
      <c r="K23" s="66" t="s">
        <v>83</v>
      </c>
      <c r="L23" s="66" t="s">
        <v>56</v>
      </c>
      <c r="M23" s="66" t="s">
        <v>84</v>
      </c>
      <c r="N23" s="67" t="s">
        <v>20</v>
      </c>
      <c r="O23" s="59" t="s">
        <v>59</v>
      </c>
      <c r="P23" s="59"/>
      <c r="Q23" s="59" t="s">
        <v>85</v>
      </c>
      <c r="R23" s="67" t="s">
        <v>86</v>
      </c>
      <c r="S23" s="68"/>
      <c r="T23" s="68"/>
      <c r="U23" s="70" t="str">
        <f t="array" ref="U23">IFERROR(INDEX(DFD!$D$2:$D$1048791,MATCH($Q23,DFD!$B$2:$B$1048791,0)),"")</f>
        <v/>
      </c>
      <c r="V23" s="70" t="str">
        <f t="array" ref="V23">IFERROR(INDEX(DFD!$F$2:$F$1048791,MATCH($Q23,DFD!$B$2:$B$1048791,0)),"")</f>
        <v/>
      </c>
      <c r="W23" s="75" t="str">
        <f t="array" ref="W23">IFERROR(INDEX(DFD!$E$2:$E$1048791,MATCH($Q23,DFD!$B$2:$B$1048791,0)),"")</f>
        <v/>
      </c>
      <c r="X23" s="75" t="str">
        <f t="array" ref="X23">IFERROR(INDEX(DFD!$K$2:$K$1048791,MATCH($Q23,DFD!$B$2:$B$1048791,0)),"")</f>
        <v/>
      </c>
      <c r="Y23" s="75" t="str">
        <f t="array" ref="Y23">IFERROR(INDEX(DFD!$L$2:$L$1048790,MATCH($Q23,DFD!$B$2:$B$1048790,0)),"")</f>
        <v/>
      </c>
      <c r="Z23" s="75">
        <f t="shared" si="1"/>
        <v>45</v>
      </c>
      <c r="AA23" s="68"/>
      <c r="AB23" s="68" t="s">
        <v>72</v>
      </c>
      <c r="AC23" s="68"/>
      <c r="AD23" s="78">
        <v>46043.0</v>
      </c>
      <c r="AE23" s="79">
        <f t="shared" si="2"/>
        <v>1</v>
      </c>
    </row>
    <row r="24" ht="15.75" customHeight="1">
      <c r="A24" s="67"/>
      <c r="B24" s="67" t="s">
        <v>105</v>
      </c>
      <c r="C24" s="81" t="s">
        <v>120</v>
      </c>
      <c r="D24" s="81" t="s">
        <v>51</v>
      </c>
      <c r="E24" s="81">
        <v>1.0</v>
      </c>
      <c r="F24" s="113">
        <v>1000.0</v>
      </c>
      <c r="G24" s="73" t="s">
        <v>53</v>
      </c>
      <c r="H24" s="83">
        <v>46174.0</v>
      </c>
      <c r="I24" s="67" t="s">
        <v>18</v>
      </c>
      <c r="J24" s="67" t="s">
        <v>54</v>
      </c>
      <c r="K24" s="67" t="s">
        <v>83</v>
      </c>
      <c r="L24" s="67" t="s">
        <v>56</v>
      </c>
      <c r="M24" s="67" t="s">
        <v>84</v>
      </c>
      <c r="N24" s="67" t="s">
        <v>20</v>
      </c>
      <c r="O24" s="59" t="s">
        <v>59</v>
      </c>
      <c r="P24" s="59"/>
      <c r="Q24" s="59" t="s">
        <v>85</v>
      </c>
      <c r="R24" s="67" t="s">
        <v>86</v>
      </c>
      <c r="S24" s="59"/>
      <c r="T24" s="59"/>
      <c r="U24" s="77" t="str">
        <f t="array" ref="U24">IFERROR(INDEX(DFD!$D$2:$D$1048791,MATCH($Q24,DFD!$B$2:$B$1048791,0)),"")</f>
        <v/>
      </c>
      <c r="V24" s="77" t="str">
        <f t="array" ref="V24">IFERROR(INDEX(DFD!$F$2:$F$1048791,MATCH($Q24,DFD!$B$2:$B$1048791,0)),"")</f>
        <v/>
      </c>
      <c r="W24" s="84" t="str">
        <f t="array" ref="W24">IFERROR(INDEX(DFD!$E$2:$E$1048791,MATCH($Q24,DFD!$B$2:$B$1048791,0)),"")</f>
        <v/>
      </c>
      <c r="X24" s="84" t="str">
        <f t="array" ref="X24">IFERROR(INDEX(DFD!$K$2:$K$1048791,MATCH($Q24,DFD!$B$2:$B$1048791,0)),"")</f>
        <v/>
      </c>
      <c r="Y24" s="84" t="str">
        <f t="array" ref="Y24">IFERROR(INDEX(DFD!$L$2:$L$1048790,MATCH($Q24,DFD!$B$2:$B$1048790,0)),"")</f>
        <v/>
      </c>
      <c r="Z24" s="84">
        <f t="shared" si="1"/>
        <v>45</v>
      </c>
      <c r="AA24" s="59"/>
      <c r="AB24" s="59" t="s">
        <v>72</v>
      </c>
      <c r="AC24" s="59"/>
      <c r="AD24" s="85">
        <v>46043.0</v>
      </c>
      <c r="AE24" s="114">
        <f t="shared" si="2"/>
        <v>1</v>
      </c>
    </row>
    <row r="25" ht="15.75" customHeight="1">
      <c r="A25" s="67"/>
      <c r="B25" s="67" t="s">
        <v>123</v>
      </c>
      <c r="C25" s="81" t="s">
        <v>120</v>
      </c>
      <c r="D25" s="81" t="s">
        <v>51</v>
      </c>
      <c r="E25" s="81">
        <v>1.0</v>
      </c>
      <c r="F25" s="113">
        <v>1000.0</v>
      </c>
      <c r="G25" s="73" t="s">
        <v>53</v>
      </c>
      <c r="H25" s="83">
        <v>46174.0</v>
      </c>
      <c r="I25" s="67" t="s">
        <v>18</v>
      </c>
      <c r="J25" s="67" t="s">
        <v>54</v>
      </c>
      <c r="K25" s="67" t="s">
        <v>83</v>
      </c>
      <c r="L25" s="67" t="s">
        <v>56</v>
      </c>
      <c r="M25" s="67" t="s">
        <v>84</v>
      </c>
      <c r="N25" s="67" t="s">
        <v>20</v>
      </c>
      <c r="O25" s="59" t="s">
        <v>59</v>
      </c>
      <c r="P25" s="59"/>
      <c r="Q25" s="59" t="s">
        <v>85</v>
      </c>
      <c r="R25" s="67" t="s">
        <v>86</v>
      </c>
      <c r="S25" s="59"/>
      <c r="T25" s="59"/>
      <c r="U25" s="77" t="str">
        <f t="array" ref="U25">IFERROR(INDEX(DFD!$D$2:$D$1048791,MATCH($Q25,DFD!$B$2:$B$1048791,0)),"")</f>
        <v/>
      </c>
      <c r="V25" s="77" t="str">
        <f t="array" ref="V25">IFERROR(INDEX(DFD!$F$2:$F$1048791,MATCH($Q25,DFD!$B$2:$B$1048791,0)),"")</f>
        <v/>
      </c>
      <c r="W25" s="84" t="str">
        <f t="array" ref="W25">IFERROR(INDEX(DFD!$E$2:$E$1048791,MATCH($Q25,DFD!$B$2:$B$1048791,0)),"")</f>
        <v/>
      </c>
      <c r="X25" s="84" t="str">
        <f t="array" ref="X25">IFERROR(INDEX(DFD!$K$2:$K$1048791,MATCH($Q25,DFD!$B$2:$B$1048791,0)),"")</f>
        <v/>
      </c>
      <c r="Y25" s="84" t="str">
        <f t="array" ref="Y25">IFERROR(INDEX(DFD!$L$2:$L$1048790,MATCH($Q25,DFD!$B$2:$B$1048790,0)),"")</f>
        <v/>
      </c>
      <c r="Z25" s="84">
        <f t="shared" si="1"/>
        <v>45</v>
      </c>
      <c r="AA25" s="59"/>
      <c r="AB25" s="59" t="s">
        <v>72</v>
      </c>
      <c r="AC25" s="59"/>
      <c r="AD25" s="85">
        <v>46043.0</v>
      </c>
      <c r="AE25" s="114">
        <f t="shared" si="2"/>
        <v>1</v>
      </c>
    </row>
    <row r="26" ht="15.75" customHeight="1">
      <c r="A26" s="92"/>
      <c r="B26" s="92" t="s">
        <v>107</v>
      </c>
      <c r="C26" s="115" t="s">
        <v>125</v>
      </c>
      <c r="D26" s="116" t="s">
        <v>51</v>
      </c>
      <c r="E26" s="116">
        <v>1.0</v>
      </c>
      <c r="F26" s="117">
        <v>550.0</v>
      </c>
      <c r="G26" s="90" t="s">
        <v>53</v>
      </c>
      <c r="H26" s="118">
        <v>46174.0</v>
      </c>
      <c r="I26" s="92" t="s">
        <v>18</v>
      </c>
      <c r="J26" s="92" t="s">
        <v>54</v>
      </c>
      <c r="K26" s="92" t="s">
        <v>83</v>
      </c>
      <c r="L26" s="92" t="s">
        <v>56</v>
      </c>
      <c r="M26" s="92" t="s">
        <v>84</v>
      </c>
      <c r="N26" s="92" t="s">
        <v>20</v>
      </c>
      <c r="O26" s="87" t="s">
        <v>59</v>
      </c>
      <c r="P26" s="87"/>
      <c r="Q26" s="87" t="s">
        <v>85</v>
      </c>
      <c r="R26" s="92" t="s">
        <v>86</v>
      </c>
      <c r="S26" s="87"/>
      <c r="T26" s="87"/>
      <c r="U26" s="94" t="str">
        <f t="array" ref="U26">IFERROR(INDEX(DFD!$D$2:$D$1048791,MATCH($Q26,DFD!$B$2:$B$1048791,0)),"")</f>
        <v/>
      </c>
      <c r="V26" s="94" t="str">
        <f t="array" ref="V26">IFERROR(INDEX(DFD!$F$2:$F$1048791,MATCH($Q26,DFD!$B$2:$B$1048791,0)),"")</f>
        <v/>
      </c>
      <c r="W26" s="97" t="str">
        <f t="array" ref="W26">IFERROR(INDEX(DFD!$E$2:$E$1048791,MATCH($Q26,DFD!$B$2:$B$1048791,0)),"")</f>
        <v/>
      </c>
      <c r="X26" s="97" t="str">
        <f t="array" ref="X26">IFERROR(INDEX(DFD!$K$2:$K$1048791,MATCH($Q26,DFD!$B$2:$B$1048791,0)),"")</f>
        <v/>
      </c>
      <c r="Y26" s="97" t="str">
        <f t="array" ref="Y26">IFERROR(INDEX(DFD!$L$2:$L$1048790,MATCH($Q26,DFD!$B$2:$B$1048790,0)),"")</f>
        <v/>
      </c>
      <c r="Z26" s="97">
        <f t="shared" si="1"/>
        <v>45</v>
      </c>
      <c r="AA26" s="87"/>
      <c r="AB26" s="87" t="s">
        <v>72</v>
      </c>
      <c r="AC26" s="87"/>
      <c r="AD26" s="99">
        <v>46043.0</v>
      </c>
      <c r="AE26" s="119">
        <f t="shared" si="2"/>
        <v>1</v>
      </c>
    </row>
    <row r="27" ht="15.75" customHeight="1">
      <c r="A27" s="67"/>
      <c r="B27" s="67" t="s">
        <v>92</v>
      </c>
      <c r="C27" s="102" t="s">
        <v>129</v>
      </c>
      <c r="D27" s="81" t="s">
        <v>51</v>
      </c>
      <c r="E27" s="81">
        <v>2.0</v>
      </c>
      <c r="F27" s="113">
        <v>1400.0</v>
      </c>
      <c r="G27" s="73" t="s">
        <v>53</v>
      </c>
      <c r="H27" s="83">
        <v>46174.0</v>
      </c>
      <c r="I27" s="67" t="s">
        <v>18</v>
      </c>
      <c r="J27" s="67" t="s">
        <v>54</v>
      </c>
      <c r="K27" s="67" t="s">
        <v>83</v>
      </c>
      <c r="L27" s="67" t="s">
        <v>56</v>
      </c>
      <c r="M27" s="67" t="s">
        <v>84</v>
      </c>
      <c r="N27" s="67" t="s">
        <v>20</v>
      </c>
      <c r="O27" s="59" t="s">
        <v>59</v>
      </c>
      <c r="P27" s="59"/>
      <c r="Q27" s="59" t="s">
        <v>85</v>
      </c>
      <c r="R27" s="67" t="s">
        <v>86</v>
      </c>
      <c r="S27" s="59"/>
      <c r="T27" s="59"/>
      <c r="U27" s="77" t="str">
        <f t="array" ref="U27">IFERROR(INDEX(DFD!$D$2:$D$1048791,MATCH($Q27,DFD!$B$2:$B$1048791,0)),"")</f>
        <v/>
      </c>
      <c r="V27" s="77" t="str">
        <f t="array" ref="V27">IFERROR(INDEX(DFD!$F$2:$F$1048791,MATCH($Q27,DFD!$B$2:$B$1048791,0)),"")</f>
        <v/>
      </c>
      <c r="W27" s="84" t="str">
        <f t="array" ref="W27">IFERROR(INDEX(DFD!$E$2:$E$1048791,MATCH($Q27,DFD!$B$2:$B$1048791,0)),"")</f>
        <v/>
      </c>
      <c r="X27" s="84" t="str">
        <f t="array" ref="X27">IFERROR(INDEX(DFD!$K$2:$K$1048791,MATCH($Q27,DFD!$B$2:$B$1048791,0)),"")</f>
        <v/>
      </c>
      <c r="Y27" s="84" t="str">
        <f t="array" ref="Y27">IFERROR(INDEX(DFD!$L$2:$L$1048790,MATCH($Q27,DFD!$B$2:$B$1048790,0)),"")</f>
        <v/>
      </c>
      <c r="Z27" s="84">
        <f t="shared" si="1"/>
        <v>45</v>
      </c>
      <c r="AA27" s="59"/>
      <c r="AB27" s="59" t="s">
        <v>72</v>
      </c>
      <c r="AC27" s="59"/>
      <c r="AD27" s="85">
        <v>46043.0</v>
      </c>
      <c r="AE27" s="114">
        <f t="shared" si="2"/>
        <v>1</v>
      </c>
    </row>
    <row r="28" ht="15.75" customHeight="1">
      <c r="A28" s="92"/>
      <c r="B28" s="92" t="s">
        <v>98</v>
      </c>
      <c r="C28" s="116" t="s">
        <v>129</v>
      </c>
      <c r="D28" s="116" t="s">
        <v>51</v>
      </c>
      <c r="E28" s="116">
        <v>2.0</v>
      </c>
      <c r="F28" s="117">
        <v>1400.0</v>
      </c>
      <c r="G28" s="90" t="s">
        <v>53</v>
      </c>
      <c r="H28" s="118">
        <v>46174.0</v>
      </c>
      <c r="I28" s="92" t="s">
        <v>18</v>
      </c>
      <c r="J28" s="92" t="s">
        <v>54</v>
      </c>
      <c r="K28" s="92" t="s">
        <v>83</v>
      </c>
      <c r="L28" s="92" t="s">
        <v>56</v>
      </c>
      <c r="M28" s="92" t="s">
        <v>84</v>
      </c>
      <c r="N28" s="92" t="s">
        <v>20</v>
      </c>
      <c r="O28" s="87" t="s">
        <v>59</v>
      </c>
      <c r="P28" s="87"/>
      <c r="Q28" s="87" t="s">
        <v>85</v>
      </c>
      <c r="R28" s="92" t="s">
        <v>86</v>
      </c>
      <c r="S28" s="87"/>
      <c r="T28" s="87"/>
      <c r="U28" s="94" t="str">
        <f t="array" ref="U28">IFERROR(INDEX(DFD!$D$2:$D$1048791,MATCH($Q28,DFD!$B$2:$B$1048791,0)),"")</f>
        <v/>
      </c>
      <c r="V28" s="94" t="str">
        <f t="array" ref="V28">IFERROR(INDEX(DFD!$F$2:$F$1048791,MATCH($Q28,DFD!$B$2:$B$1048791,0)),"")</f>
        <v/>
      </c>
      <c r="W28" s="97" t="str">
        <f t="array" ref="W28">IFERROR(INDEX(DFD!$E$2:$E$1048791,MATCH($Q28,DFD!$B$2:$B$1048791,0)),"")</f>
        <v/>
      </c>
      <c r="X28" s="97" t="str">
        <f t="array" ref="X28">IFERROR(INDEX(DFD!$K$2:$K$1048791,MATCH($Q28,DFD!$B$2:$B$1048791,0)),"")</f>
        <v/>
      </c>
      <c r="Y28" s="97" t="str">
        <f t="array" ref="Y28">IFERROR(INDEX(DFD!$L$2:$L$1048790,MATCH($Q28,DFD!$B$2:$B$1048790,0)),"")</f>
        <v/>
      </c>
      <c r="Z28" s="97">
        <f t="shared" si="1"/>
        <v>45</v>
      </c>
      <c r="AA28" s="87"/>
      <c r="AB28" s="87" t="s">
        <v>72</v>
      </c>
      <c r="AC28" s="87"/>
      <c r="AD28" s="99">
        <v>46043.0</v>
      </c>
      <c r="AE28" s="119">
        <f t="shared" si="2"/>
        <v>1</v>
      </c>
    </row>
    <row r="29" ht="15.75" customHeight="1">
      <c r="A29" s="67"/>
      <c r="B29" s="67" t="s">
        <v>109</v>
      </c>
      <c r="C29" s="81" t="s">
        <v>129</v>
      </c>
      <c r="D29" s="81" t="s">
        <v>51</v>
      </c>
      <c r="E29" s="81">
        <v>2.0</v>
      </c>
      <c r="F29" s="113">
        <v>1400.0</v>
      </c>
      <c r="G29" s="73" t="s">
        <v>53</v>
      </c>
      <c r="H29" s="83">
        <v>46174.0</v>
      </c>
      <c r="I29" s="67" t="s">
        <v>18</v>
      </c>
      <c r="J29" s="67" t="s">
        <v>54</v>
      </c>
      <c r="K29" s="67" t="s">
        <v>83</v>
      </c>
      <c r="L29" s="67" t="s">
        <v>56</v>
      </c>
      <c r="M29" s="67" t="s">
        <v>84</v>
      </c>
      <c r="N29" s="67" t="s">
        <v>20</v>
      </c>
      <c r="O29" s="59" t="s">
        <v>59</v>
      </c>
      <c r="P29" s="59"/>
      <c r="Q29" s="59" t="s">
        <v>85</v>
      </c>
      <c r="R29" s="67" t="s">
        <v>86</v>
      </c>
      <c r="S29" s="59"/>
      <c r="T29" s="59"/>
      <c r="U29" s="77" t="str">
        <f t="array" ref="U29">IFERROR(INDEX(DFD!$D$2:$D$1048791,MATCH($Q29,DFD!$B$2:$B$1048791,0)),"")</f>
        <v/>
      </c>
      <c r="V29" s="77" t="str">
        <f t="array" ref="V29">IFERROR(INDEX(DFD!$F$2:$F$1048791,MATCH($Q29,DFD!$B$2:$B$1048791,0)),"")</f>
        <v/>
      </c>
      <c r="W29" s="84" t="str">
        <f t="array" ref="W29">IFERROR(INDEX(DFD!$E$2:$E$1048791,MATCH($Q29,DFD!$B$2:$B$1048791,0)),"")</f>
        <v/>
      </c>
      <c r="X29" s="84" t="str">
        <f t="array" ref="X29">IFERROR(INDEX(DFD!$K$2:$K$1048791,MATCH($Q29,DFD!$B$2:$B$1048791,0)),"")</f>
        <v/>
      </c>
      <c r="Y29" s="84" t="str">
        <f t="array" ref="Y29">IFERROR(INDEX(DFD!$L$2:$L$1048790,MATCH($Q29,DFD!$B$2:$B$1048790,0)),"")</f>
        <v/>
      </c>
      <c r="Z29" s="84">
        <f t="shared" si="1"/>
        <v>45</v>
      </c>
      <c r="AA29" s="59"/>
      <c r="AB29" s="59" t="s">
        <v>72</v>
      </c>
      <c r="AC29" s="59"/>
      <c r="AD29" s="85">
        <v>46043.0</v>
      </c>
      <c r="AE29" s="114">
        <f t="shared" si="2"/>
        <v>1</v>
      </c>
    </row>
    <row r="30" ht="15.75" customHeight="1">
      <c r="A30" s="92"/>
      <c r="B30" s="92" t="s">
        <v>105</v>
      </c>
      <c r="C30" s="116" t="s">
        <v>129</v>
      </c>
      <c r="D30" s="116" t="s">
        <v>51</v>
      </c>
      <c r="E30" s="116">
        <v>1.0</v>
      </c>
      <c r="F30" s="117">
        <v>700.0</v>
      </c>
      <c r="G30" s="90" t="s">
        <v>53</v>
      </c>
      <c r="H30" s="118">
        <v>46174.0</v>
      </c>
      <c r="I30" s="92" t="s">
        <v>18</v>
      </c>
      <c r="J30" s="92" t="s">
        <v>54</v>
      </c>
      <c r="K30" s="92" t="s">
        <v>83</v>
      </c>
      <c r="L30" s="92" t="s">
        <v>56</v>
      </c>
      <c r="M30" s="92" t="s">
        <v>84</v>
      </c>
      <c r="N30" s="92" t="s">
        <v>20</v>
      </c>
      <c r="O30" s="87" t="s">
        <v>59</v>
      </c>
      <c r="P30" s="87"/>
      <c r="Q30" s="87" t="s">
        <v>85</v>
      </c>
      <c r="R30" s="92" t="s">
        <v>86</v>
      </c>
      <c r="S30" s="87"/>
      <c r="T30" s="87"/>
      <c r="U30" s="94" t="str">
        <f t="array" ref="U30">IFERROR(INDEX(DFD!$D$2:$D$1048791,MATCH($Q30,DFD!$B$2:$B$1048791,0)),"")</f>
        <v/>
      </c>
      <c r="V30" s="94" t="str">
        <f t="array" ref="V30">IFERROR(INDEX(DFD!$F$2:$F$1048791,MATCH($Q30,DFD!$B$2:$B$1048791,0)),"")</f>
        <v/>
      </c>
      <c r="W30" s="97" t="str">
        <f t="array" ref="W30">IFERROR(INDEX(DFD!$E$2:$E$1048791,MATCH($Q30,DFD!$B$2:$B$1048791,0)),"")</f>
        <v/>
      </c>
      <c r="X30" s="97" t="str">
        <f t="array" ref="X30">IFERROR(INDEX(DFD!$K$2:$K$1048791,MATCH($Q30,DFD!$B$2:$B$1048791,0)),"")</f>
        <v/>
      </c>
      <c r="Y30" s="97" t="str">
        <f t="array" ref="Y30">IFERROR(INDEX(DFD!$L$2:$L$1048790,MATCH($Q30,DFD!$B$2:$B$1048790,0)),"")</f>
        <v/>
      </c>
      <c r="Z30" s="97">
        <f t="shared" si="1"/>
        <v>45</v>
      </c>
      <c r="AA30" s="87"/>
      <c r="AB30" s="87" t="s">
        <v>72</v>
      </c>
      <c r="AC30" s="87"/>
      <c r="AD30" s="99">
        <v>46043.0</v>
      </c>
      <c r="AE30" s="119">
        <f t="shared" si="2"/>
        <v>1</v>
      </c>
    </row>
    <row r="31" ht="15.75" customHeight="1">
      <c r="A31" s="67"/>
      <c r="B31" s="67" t="s">
        <v>107</v>
      </c>
      <c r="C31" s="81" t="s">
        <v>129</v>
      </c>
      <c r="D31" s="81" t="s">
        <v>51</v>
      </c>
      <c r="E31" s="81">
        <v>1.0</v>
      </c>
      <c r="F31" s="113">
        <v>700.0</v>
      </c>
      <c r="G31" s="73" t="s">
        <v>53</v>
      </c>
      <c r="H31" s="83">
        <v>46174.0</v>
      </c>
      <c r="I31" s="67" t="s">
        <v>18</v>
      </c>
      <c r="J31" s="67" t="s">
        <v>54</v>
      </c>
      <c r="K31" s="67" t="s">
        <v>83</v>
      </c>
      <c r="L31" s="67" t="s">
        <v>56</v>
      </c>
      <c r="M31" s="67" t="s">
        <v>84</v>
      </c>
      <c r="N31" s="67" t="s">
        <v>20</v>
      </c>
      <c r="O31" s="59" t="s">
        <v>59</v>
      </c>
      <c r="P31" s="59"/>
      <c r="Q31" s="59" t="s">
        <v>85</v>
      </c>
      <c r="R31" s="67" t="s">
        <v>86</v>
      </c>
      <c r="S31" s="59"/>
      <c r="T31" s="59"/>
      <c r="U31" s="77" t="str">
        <f t="array" ref="U31">IFERROR(INDEX(DFD!$D$2:$D$1048791,MATCH($Q31,DFD!$B$2:$B$1048791,0)),"")</f>
        <v/>
      </c>
      <c r="V31" s="77" t="str">
        <f t="array" ref="V31">IFERROR(INDEX(DFD!$F$2:$F$1048791,MATCH($Q31,DFD!$B$2:$B$1048791,0)),"")</f>
        <v/>
      </c>
      <c r="W31" s="84" t="str">
        <f t="array" ref="W31">IFERROR(INDEX(DFD!$E$2:$E$1048791,MATCH($Q31,DFD!$B$2:$B$1048791,0)),"")</f>
        <v/>
      </c>
      <c r="X31" s="84" t="str">
        <f t="array" ref="X31">IFERROR(INDEX(DFD!$K$2:$K$1048791,MATCH($Q31,DFD!$B$2:$B$1048791,0)),"")</f>
        <v/>
      </c>
      <c r="Y31" s="84" t="str">
        <f t="array" ref="Y31">IFERROR(INDEX(DFD!$L$2:$L$1048790,MATCH($Q31,DFD!$B$2:$B$1048790,0)),"")</f>
        <v/>
      </c>
      <c r="Z31" s="84">
        <f t="shared" si="1"/>
        <v>45</v>
      </c>
      <c r="AA31" s="59"/>
      <c r="AB31" s="59" t="s">
        <v>72</v>
      </c>
      <c r="AC31" s="59"/>
      <c r="AD31" s="85">
        <v>46043.0</v>
      </c>
      <c r="AE31" s="114">
        <f t="shared" si="2"/>
        <v>1</v>
      </c>
    </row>
    <row r="32" ht="15.75" customHeight="1">
      <c r="A32" s="92"/>
      <c r="B32" s="92" t="s">
        <v>73</v>
      </c>
      <c r="C32" s="116" t="s">
        <v>129</v>
      </c>
      <c r="D32" s="116" t="s">
        <v>51</v>
      </c>
      <c r="E32" s="116">
        <v>1.0</v>
      </c>
      <c r="F32" s="117">
        <v>700.0</v>
      </c>
      <c r="G32" s="90" t="s">
        <v>53</v>
      </c>
      <c r="H32" s="118">
        <v>46174.0</v>
      </c>
      <c r="I32" s="92" t="s">
        <v>18</v>
      </c>
      <c r="J32" s="92" t="s">
        <v>54</v>
      </c>
      <c r="K32" s="92" t="s">
        <v>83</v>
      </c>
      <c r="L32" s="92" t="s">
        <v>56</v>
      </c>
      <c r="M32" s="92" t="s">
        <v>84</v>
      </c>
      <c r="N32" s="92" t="s">
        <v>20</v>
      </c>
      <c r="O32" s="87" t="s">
        <v>59</v>
      </c>
      <c r="P32" s="87"/>
      <c r="Q32" s="87" t="s">
        <v>85</v>
      </c>
      <c r="R32" s="92" t="s">
        <v>86</v>
      </c>
      <c r="S32" s="87"/>
      <c r="T32" s="87"/>
      <c r="U32" s="94" t="str">
        <f t="array" ref="U32">IFERROR(INDEX(DFD!$D$2:$D$1048791,MATCH($Q32,DFD!$B$2:$B$1048791,0)),"")</f>
        <v/>
      </c>
      <c r="V32" s="94" t="str">
        <f t="array" ref="V32">IFERROR(INDEX(DFD!$F$2:$F$1048791,MATCH($Q32,DFD!$B$2:$B$1048791,0)),"")</f>
        <v/>
      </c>
      <c r="W32" s="97" t="str">
        <f t="array" ref="W32">IFERROR(INDEX(DFD!$E$2:$E$1048791,MATCH($Q32,DFD!$B$2:$B$1048791,0)),"")</f>
        <v/>
      </c>
      <c r="X32" s="97" t="str">
        <f t="array" ref="X32">IFERROR(INDEX(DFD!$K$2:$K$1048791,MATCH($Q32,DFD!$B$2:$B$1048791,0)),"")</f>
        <v/>
      </c>
      <c r="Y32" s="97" t="str">
        <f t="array" ref="Y32">IFERROR(INDEX(DFD!$L$2:$L$1048790,MATCH($Q32,DFD!$B$2:$B$1048790,0)),"")</f>
        <v/>
      </c>
      <c r="Z32" s="97">
        <f t="shared" si="1"/>
        <v>45</v>
      </c>
      <c r="AA32" s="87"/>
      <c r="AB32" s="87" t="s">
        <v>72</v>
      </c>
      <c r="AC32" s="87"/>
      <c r="AD32" s="99">
        <v>46043.0</v>
      </c>
      <c r="AE32" s="119">
        <f t="shared" si="2"/>
        <v>1</v>
      </c>
    </row>
    <row r="33" ht="15.75" customHeight="1">
      <c r="A33" s="67"/>
      <c r="B33" s="67" t="s">
        <v>148</v>
      </c>
      <c r="C33" s="81" t="s">
        <v>149</v>
      </c>
      <c r="D33" s="81" t="s">
        <v>51</v>
      </c>
      <c r="E33" s="81">
        <v>4.0</v>
      </c>
      <c r="F33" s="113">
        <v>16000.0</v>
      </c>
      <c r="G33" s="73" t="s">
        <v>53</v>
      </c>
      <c r="H33" s="83">
        <v>46235.0</v>
      </c>
      <c r="I33" s="67" t="s">
        <v>18</v>
      </c>
      <c r="J33" s="67" t="s">
        <v>54</v>
      </c>
      <c r="K33" s="67" t="s">
        <v>83</v>
      </c>
      <c r="L33" s="67" t="s">
        <v>56</v>
      </c>
      <c r="M33" s="67" t="s">
        <v>84</v>
      </c>
      <c r="N33" s="67" t="s">
        <v>20</v>
      </c>
      <c r="O33" s="59" t="s">
        <v>59</v>
      </c>
      <c r="P33" s="59"/>
      <c r="Q33" s="59" t="s">
        <v>150</v>
      </c>
      <c r="R33" s="67" t="s">
        <v>86</v>
      </c>
      <c r="S33" s="59"/>
      <c r="T33" s="59"/>
      <c r="U33" s="77" t="str">
        <f t="array" ref="U33">IFERROR(INDEX(DFD!$D$2:$D$1048791,MATCH($Q33,DFD!$B$2:$B$1048791,0)),"")</f>
        <v/>
      </c>
      <c r="V33" s="77" t="str">
        <f t="array" ref="V33">IFERROR(INDEX(DFD!$F$2:$F$1048791,MATCH($Q33,DFD!$B$2:$B$1048791,0)),"")</f>
        <v/>
      </c>
      <c r="W33" s="84" t="str">
        <f t="array" ref="W33">IFERROR(INDEX(DFD!$E$2:$E$1048791,MATCH($Q33,DFD!$B$2:$B$1048791,0)),"")</f>
        <v/>
      </c>
      <c r="X33" s="84" t="str">
        <f t="array" ref="X33">IFERROR(INDEX(DFD!$K$2:$K$1048791,MATCH($Q33,DFD!$B$2:$B$1048791,0)),"")</f>
        <v/>
      </c>
      <c r="Y33" s="84" t="str">
        <f t="array" ref="Y33">IFERROR(INDEX(DFD!$L$2:$L$1048790,MATCH($Q33,DFD!$B$2:$B$1048790,0)),"")</f>
        <v/>
      </c>
      <c r="Z33" s="84">
        <f t="shared" si="1"/>
        <v>45</v>
      </c>
      <c r="AA33" s="59"/>
      <c r="AB33" s="59" t="s">
        <v>72</v>
      </c>
      <c r="AC33" s="59"/>
      <c r="AD33" s="85">
        <v>46043.0</v>
      </c>
      <c r="AE33" s="114">
        <f t="shared" si="2"/>
        <v>1</v>
      </c>
    </row>
    <row r="34" ht="15.75" customHeight="1">
      <c r="A34" s="92"/>
      <c r="B34" s="92" t="s">
        <v>155</v>
      </c>
      <c r="C34" s="116" t="s">
        <v>156</v>
      </c>
      <c r="D34" s="116" t="s">
        <v>51</v>
      </c>
      <c r="E34" s="116">
        <v>1.0</v>
      </c>
      <c r="F34" s="117">
        <v>2500.0</v>
      </c>
      <c r="G34" s="90" t="s">
        <v>53</v>
      </c>
      <c r="H34" s="118">
        <v>46174.0</v>
      </c>
      <c r="I34" s="92" t="s">
        <v>18</v>
      </c>
      <c r="J34" s="92" t="s">
        <v>54</v>
      </c>
      <c r="K34" s="92" t="s">
        <v>83</v>
      </c>
      <c r="L34" s="92" t="s">
        <v>56</v>
      </c>
      <c r="M34" s="92" t="s">
        <v>84</v>
      </c>
      <c r="N34" s="92" t="s">
        <v>20</v>
      </c>
      <c r="O34" s="87" t="s">
        <v>59</v>
      </c>
      <c r="P34" s="87"/>
      <c r="Q34" s="87" t="s">
        <v>157</v>
      </c>
      <c r="R34" s="92" t="s">
        <v>86</v>
      </c>
      <c r="S34" s="87"/>
      <c r="T34" s="87"/>
      <c r="U34" s="94" t="str">
        <f t="array" ref="U34">IFERROR(INDEX(DFD!$D$2:$D$1048791,MATCH($Q34,DFD!$B$2:$B$1048791,0)),"")</f>
        <v/>
      </c>
      <c r="V34" s="94" t="str">
        <f t="array" ref="V34">IFERROR(INDEX(DFD!$F$2:$F$1048791,MATCH($Q34,DFD!$B$2:$B$1048791,0)),"")</f>
        <v/>
      </c>
      <c r="W34" s="97" t="str">
        <f t="array" ref="W34">IFERROR(INDEX(DFD!$E$2:$E$1048791,MATCH($Q34,DFD!$B$2:$B$1048791,0)),"")</f>
        <v/>
      </c>
      <c r="X34" s="97" t="str">
        <f t="array" ref="X34">IFERROR(INDEX(DFD!$K$2:$K$1048791,MATCH($Q34,DFD!$B$2:$B$1048791,0)),"")</f>
        <v/>
      </c>
      <c r="Y34" s="97" t="str">
        <f t="array" ref="Y34">IFERROR(INDEX(DFD!$L$2:$L$1048790,MATCH($Q34,DFD!$B$2:$B$1048790,0)),"")</f>
        <v/>
      </c>
      <c r="Z34" s="97">
        <f t="shared" si="1"/>
        <v>45</v>
      </c>
      <c r="AA34" s="87"/>
      <c r="AB34" s="87" t="s">
        <v>72</v>
      </c>
      <c r="AC34" s="87"/>
      <c r="AD34" s="99">
        <v>46043.0</v>
      </c>
      <c r="AE34" s="119">
        <f t="shared" si="2"/>
        <v>1</v>
      </c>
    </row>
    <row r="35" ht="15.75" customHeight="1">
      <c r="A35" s="67"/>
      <c r="B35" s="67" t="s">
        <v>162</v>
      </c>
      <c r="C35" s="81" t="s">
        <v>163</v>
      </c>
      <c r="D35" s="81" t="s">
        <v>51</v>
      </c>
      <c r="E35" s="81">
        <v>2.0</v>
      </c>
      <c r="F35" s="113">
        <v>4000.0</v>
      </c>
      <c r="G35" s="73" t="s">
        <v>53</v>
      </c>
      <c r="H35" s="83">
        <v>46204.0</v>
      </c>
      <c r="I35" s="67" t="s">
        <v>18</v>
      </c>
      <c r="J35" s="67" t="s">
        <v>54</v>
      </c>
      <c r="K35" s="67" t="s">
        <v>83</v>
      </c>
      <c r="L35" s="67" t="s">
        <v>56</v>
      </c>
      <c r="M35" s="67" t="s">
        <v>84</v>
      </c>
      <c r="N35" s="67" t="s">
        <v>20</v>
      </c>
      <c r="O35" s="59" t="s">
        <v>59</v>
      </c>
      <c r="P35" s="59"/>
      <c r="Q35" s="59" t="s">
        <v>157</v>
      </c>
      <c r="R35" s="67" t="s">
        <v>86</v>
      </c>
      <c r="S35" s="59"/>
      <c r="T35" s="59"/>
      <c r="U35" s="77" t="str">
        <f t="array" ref="U35">IFERROR(INDEX(DFD!$D$2:$D$1048791,MATCH($Q35,DFD!$B$2:$B$1048791,0)),"")</f>
        <v/>
      </c>
      <c r="V35" s="77" t="str">
        <f t="array" ref="V35">IFERROR(INDEX(DFD!$F$2:$F$1048791,MATCH($Q35,DFD!$B$2:$B$1048791,0)),"")</f>
        <v/>
      </c>
      <c r="W35" s="84" t="str">
        <f t="array" ref="W35">IFERROR(INDEX(DFD!$E$2:$E$1048791,MATCH($Q35,DFD!$B$2:$B$1048791,0)),"")</f>
        <v/>
      </c>
      <c r="X35" s="84" t="str">
        <f t="array" ref="X35">IFERROR(INDEX(DFD!$K$2:$K$1048791,MATCH($Q35,DFD!$B$2:$B$1048791,0)),"")</f>
        <v/>
      </c>
      <c r="Y35" s="84" t="str">
        <f t="array" ref="Y35">IFERROR(INDEX(DFD!$L$2:$L$1048790,MATCH($Q35,DFD!$B$2:$B$1048790,0)),"")</f>
        <v/>
      </c>
      <c r="Z35" s="84">
        <f t="shared" si="1"/>
        <v>45</v>
      </c>
      <c r="AA35" s="59"/>
      <c r="AB35" s="59" t="s">
        <v>72</v>
      </c>
      <c r="AC35" s="59"/>
      <c r="AD35" s="85">
        <v>46043.0</v>
      </c>
      <c r="AE35" s="114">
        <f t="shared" si="2"/>
        <v>1</v>
      </c>
    </row>
    <row r="36" ht="15.75" customHeight="1">
      <c r="A36" s="92"/>
      <c r="B36" s="92" t="s">
        <v>171</v>
      </c>
      <c r="C36" s="116" t="s">
        <v>163</v>
      </c>
      <c r="D36" s="116" t="s">
        <v>51</v>
      </c>
      <c r="E36" s="116">
        <v>2.0</v>
      </c>
      <c r="F36" s="117">
        <v>3000.0</v>
      </c>
      <c r="G36" s="90" t="s">
        <v>53</v>
      </c>
      <c r="H36" s="118">
        <v>46174.0</v>
      </c>
      <c r="I36" s="92" t="s">
        <v>18</v>
      </c>
      <c r="J36" s="92" t="s">
        <v>54</v>
      </c>
      <c r="K36" s="92" t="s">
        <v>83</v>
      </c>
      <c r="L36" s="92" t="s">
        <v>56</v>
      </c>
      <c r="M36" s="92" t="s">
        <v>84</v>
      </c>
      <c r="N36" s="92" t="s">
        <v>20</v>
      </c>
      <c r="O36" s="87" t="s">
        <v>59</v>
      </c>
      <c r="P36" s="87"/>
      <c r="Q36" s="87" t="s">
        <v>157</v>
      </c>
      <c r="R36" s="92" t="s">
        <v>86</v>
      </c>
      <c r="S36" s="87"/>
      <c r="T36" s="87"/>
      <c r="U36" s="94" t="str">
        <f t="array" ref="U36">IFERROR(INDEX(DFD!$D$2:$D$1048791,MATCH($Q36,DFD!$B$2:$B$1048791,0)),"")</f>
        <v/>
      </c>
      <c r="V36" s="94" t="str">
        <f t="array" ref="V36">IFERROR(INDEX(DFD!$F$2:$F$1048791,MATCH($Q36,DFD!$B$2:$B$1048791,0)),"")</f>
        <v/>
      </c>
      <c r="W36" s="97" t="str">
        <f t="array" ref="W36">IFERROR(INDEX(DFD!$E$2:$E$1048791,MATCH($Q36,DFD!$B$2:$B$1048791,0)),"")</f>
        <v/>
      </c>
      <c r="X36" s="97" t="str">
        <f t="array" ref="X36">IFERROR(INDEX(DFD!$K$2:$K$1048791,MATCH($Q36,DFD!$B$2:$B$1048791,0)),"")</f>
        <v/>
      </c>
      <c r="Y36" s="97" t="str">
        <f t="array" ref="Y36">IFERROR(INDEX(DFD!$L$2:$L$1048790,MATCH($Q36,DFD!$B$2:$B$1048790,0)),"")</f>
        <v/>
      </c>
      <c r="Z36" s="97">
        <f t="shared" si="1"/>
        <v>45</v>
      </c>
      <c r="AA36" s="87"/>
      <c r="AB36" s="87" t="s">
        <v>72</v>
      </c>
      <c r="AC36" s="87"/>
      <c r="AD36" s="99">
        <v>46043.0</v>
      </c>
      <c r="AE36" s="119">
        <f t="shared" si="2"/>
        <v>1</v>
      </c>
    </row>
    <row r="37" ht="15.75" customHeight="1">
      <c r="A37" s="67"/>
      <c r="B37" s="67" t="s">
        <v>172</v>
      </c>
      <c r="C37" s="81" t="s">
        <v>163</v>
      </c>
      <c r="D37" s="81" t="s">
        <v>51</v>
      </c>
      <c r="E37" s="81">
        <v>1.0</v>
      </c>
      <c r="F37" s="113">
        <v>1500.0</v>
      </c>
      <c r="G37" s="73" t="s">
        <v>53</v>
      </c>
      <c r="H37" s="83">
        <v>46174.0</v>
      </c>
      <c r="I37" s="67" t="s">
        <v>18</v>
      </c>
      <c r="J37" s="67" t="s">
        <v>54</v>
      </c>
      <c r="K37" s="67" t="s">
        <v>83</v>
      </c>
      <c r="L37" s="67" t="s">
        <v>56</v>
      </c>
      <c r="M37" s="67" t="s">
        <v>84</v>
      </c>
      <c r="N37" s="67" t="s">
        <v>20</v>
      </c>
      <c r="O37" s="59" t="s">
        <v>59</v>
      </c>
      <c r="P37" s="59"/>
      <c r="Q37" s="59" t="s">
        <v>157</v>
      </c>
      <c r="R37" s="67" t="s">
        <v>86</v>
      </c>
      <c r="S37" s="59"/>
      <c r="T37" s="59"/>
      <c r="U37" s="77" t="str">
        <f t="array" ref="U37">IFERROR(INDEX(DFD!$D$2:$D$1048791,MATCH($Q37,DFD!$B$2:$B$1048791,0)),"")</f>
        <v/>
      </c>
      <c r="V37" s="77" t="str">
        <f t="array" ref="V37">IFERROR(INDEX(DFD!$F$2:$F$1048791,MATCH($Q37,DFD!$B$2:$B$1048791,0)),"")</f>
        <v/>
      </c>
      <c r="W37" s="84" t="str">
        <f t="array" ref="W37">IFERROR(INDEX(DFD!$E$2:$E$1048791,MATCH($Q37,DFD!$B$2:$B$1048791,0)),"")</f>
        <v/>
      </c>
      <c r="X37" s="84" t="str">
        <f t="array" ref="X37">IFERROR(INDEX(DFD!$K$2:$K$1048791,MATCH($Q37,DFD!$B$2:$B$1048791,0)),"")</f>
        <v/>
      </c>
      <c r="Y37" s="84" t="str">
        <f t="array" ref="Y37">IFERROR(INDEX(DFD!$L$2:$L$1048790,MATCH($Q37,DFD!$B$2:$B$1048790,0)),"")</f>
        <v/>
      </c>
      <c r="Z37" s="84">
        <f t="shared" si="1"/>
        <v>45</v>
      </c>
      <c r="AA37" s="59"/>
      <c r="AB37" s="59" t="s">
        <v>72</v>
      </c>
      <c r="AC37" s="59"/>
      <c r="AD37" s="85">
        <v>46043.0</v>
      </c>
      <c r="AE37" s="114">
        <f t="shared" si="2"/>
        <v>1</v>
      </c>
    </row>
    <row r="38" ht="15.75" customHeight="1">
      <c r="A38" s="92"/>
      <c r="B38" s="92" t="s">
        <v>87</v>
      </c>
      <c r="C38" s="116" t="s">
        <v>163</v>
      </c>
      <c r="D38" s="116" t="s">
        <v>51</v>
      </c>
      <c r="E38" s="116">
        <v>1.0</v>
      </c>
      <c r="F38" s="117">
        <v>1500.0</v>
      </c>
      <c r="G38" s="90" t="s">
        <v>53</v>
      </c>
      <c r="H38" s="118">
        <v>46174.0</v>
      </c>
      <c r="I38" s="92" t="s">
        <v>18</v>
      </c>
      <c r="J38" s="92" t="s">
        <v>54</v>
      </c>
      <c r="K38" s="92" t="s">
        <v>83</v>
      </c>
      <c r="L38" s="92" t="s">
        <v>56</v>
      </c>
      <c r="M38" s="92" t="s">
        <v>84</v>
      </c>
      <c r="N38" s="92" t="s">
        <v>20</v>
      </c>
      <c r="O38" s="87" t="s">
        <v>59</v>
      </c>
      <c r="P38" s="87"/>
      <c r="Q38" s="87" t="s">
        <v>157</v>
      </c>
      <c r="R38" s="92" t="s">
        <v>86</v>
      </c>
      <c r="S38" s="87"/>
      <c r="T38" s="87"/>
      <c r="U38" s="94" t="str">
        <f t="array" ref="U38">IFERROR(INDEX(DFD!$D$2:$D$1048791,MATCH($Q38,DFD!$B$2:$B$1048791,0)),"")</f>
        <v/>
      </c>
      <c r="V38" s="94" t="str">
        <f t="array" ref="V38">IFERROR(INDEX(DFD!$F$2:$F$1048791,MATCH($Q38,DFD!$B$2:$B$1048791,0)),"")</f>
        <v/>
      </c>
      <c r="W38" s="97" t="str">
        <f t="array" ref="W38">IFERROR(INDEX(DFD!$E$2:$E$1048791,MATCH($Q38,DFD!$B$2:$B$1048791,0)),"")</f>
        <v/>
      </c>
      <c r="X38" s="97" t="str">
        <f t="array" ref="X38">IFERROR(INDEX(DFD!$K$2:$K$1048791,MATCH($Q38,DFD!$B$2:$B$1048791,0)),"")</f>
        <v/>
      </c>
      <c r="Y38" s="97" t="str">
        <f t="array" ref="Y38">IFERROR(INDEX(DFD!$L$2:$L$1048790,MATCH($Q38,DFD!$B$2:$B$1048790,0)),"")</f>
        <v/>
      </c>
      <c r="Z38" s="97">
        <f t="shared" si="1"/>
        <v>45</v>
      </c>
      <c r="AA38" s="87"/>
      <c r="AB38" s="87" t="s">
        <v>72</v>
      </c>
      <c r="AC38" s="87"/>
      <c r="AD38" s="99">
        <v>46043.0</v>
      </c>
      <c r="AE38" s="119">
        <f t="shared" si="2"/>
        <v>1</v>
      </c>
    </row>
    <row r="39" ht="15.75" customHeight="1">
      <c r="A39" s="67"/>
      <c r="B39" s="104" t="s">
        <v>87</v>
      </c>
      <c r="C39" s="81" t="s">
        <v>182</v>
      </c>
      <c r="D39" s="81" t="s">
        <v>51</v>
      </c>
      <c r="E39" s="81">
        <v>2.0</v>
      </c>
      <c r="F39" s="113">
        <v>11898.0</v>
      </c>
      <c r="G39" s="73" t="s">
        <v>53</v>
      </c>
      <c r="H39" s="83">
        <v>46235.0</v>
      </c>
      <c r="I39" s="67" t="s">
        <v>18</v>
      </c>
      <c r="J39" s="67" t="s">
        <v>54</v>
      </c>
      <c r="K39" s="67" t="s">
        <v>83</v>
      </c>
      <c r="L39" s="67" t="s">
        <v>56</v>
      </c>
      <c r="M39" s="67" t="s">
        <v>84</v>
      </c>
      <c r="N39" s="67" t="s">
        <v>20</v>
      </c>
      <c r="O39" s="59" t="s">
        <v>59</v>
      </c>
      <c r="P39" s="59"/>
      <c r="Q39" s="59" t="s">
        <v>157</v>
      </c>
      <c r="R39" s="67" t="s">
        <v>86</v>
      </c>
      <c r="S39" s="59"/>
      <c r="T39" s="59"/>
      <c r="U39" s="77" t="str">
        <f t="array" ref="U39">IFERROR(INDEX(DFD!$D$2:$D$1048791,MATCH($Q39,DFD!$B$2:$B$1048791,0)),"")</f>
        <v/>
      </c>
      <c r="V39" s="77" t="str">
        <f t="array" ref="V39">IFERROR(INDEX(DFD!$F$2:$F$1048791,MATCH($Q39,DFD!$B$2:$B$1048791,0)),"")</f>
        <v/>
      </c>
      <c r="W39" s="84" t="str">
        <f t="array" ref="W39">IFERROR(INDEX(DFD!$E$2:$E$1048791,MATCH($Q39,DFD!$B$2:$B$1048791,0)),"")</f>
        <v/>
      </c>
      <c r="X39" s="84" t="str">
        <f t="array" ref="X39">IFERROR(INDEX(DFD!$K$2:$K$1048791,MATCH($Q39,DFD!$B$2:$B$1048791,0)),"")</f>
        <v/>
      </c>
      <c r="Y39" s="84" t="str">
        <f t="array" ref="Y39">IFERROR(INDEX(DFD!$L$2:$L$1048790,MATCH($Q39,DFD!$B$2:$B$1048790,0)),"")</f>
        <v/>
      </c>
      <c r="Z39" s="84">
        <f t="shared" si="1"/>
        <v>45</v>
      </c>
      <c r="AA39" s="59"/>
      <c r="AB39" s="59" t="s">
        <v>72</v>
      </c>
      <c r="AC39" s="59"/>
      <c r="AD39" s="85">
        <v>46043.0</v>
      </c>
      <c r="AE39" s="114">
        <f t="shared" si="2"/>
        <v>1</v>
      </c>
    </row>
    <row r="40" ht="15.75" customHeight="1">
      <c r="A40" s="92"/>
      <c r="B40" s="92" t="s">
        <v>99</v>
      </c>
      <c r="C40" s="116" t="s">
        <v>188</v>
      </c>
      <c r="D40" s="116" t="s">
        <v>51</v>
      </c>
      <c r="E40" s="116">
        <v>1.0</v>
      </c>
      <c r="F40" s="117">
        <v>3000.0</v>
      </c>
      <c r="G40" s="90" t="s">
        <v>53</v>
      </c>
      <c r="H40" s="118">
        <v>46174.0</v>
      </c>
      <c r="I40" s="92" t="s">
        <v>18</v>
      </c>
      <c r="J40" s="92" t="s">
        <v>54</v>
      </c>
      <c r="K40" s="92" t="s">
        <v>83</v>
      </c>
      <c r="L40" s="92" t="s">
        <v>56</v>
      </c>
      <c r="M40" s="92" t="s">
        <v>84</v>
      </c>
      <c r="N40" s="92" t="s">
        <v>20</v>
      </c>
      <c r="O40" s="87" t="s">
        <v>59</v>
      </c>
      <c r="P40" s="87"/>
      <c r="Q40" s="87" t="s">
        <v>157</v>
      </c>
      <c r="R40" s="92" t="s">
        <v>86</v>
      </c>
      <c r="S40" s="87"/>
      <c r="T40" s="87"/>
      <c r="U40" s="94" t="str">
        <f t="array" ref="U40">IFERROR(INDEX(DFD!$D$2:$D$1048791,MATCH($Q40,DFD!$B$2:$B$1048791,0)),"")</f>
        <v/>
      </c>
      <c r="V40" s="94" t="str">
        <f t="array" ref="V40">IFERROR(INDEX(DFD!$F$2:$F$1048791,MATCH($Q40,DFD!$B$2:$B$1048791,0)),"")</f>
        <v/>
      </c>
      <c r="W40" s="97" t="str">
        <f t="array" ref="W40">IFERROR(INDEX(DFD!$E$2:$E$1048791,MATCH($Q40,DFD!$B$2:$B$1048791,0)),"")</f>
        <v/>
      </c>
      <c r="X40" s="97" t="str">
        <f t="array" ref="X40">IFERROR(INDEX(DFD!$K$2:$K$1048791,MATCH($Q40,DFD!$B$2:$B$1048791,0)),"")</f>
        <v/>
      </c>
      <c r="Y40" s="97" t="str">
        <f t="array" ref="Y40">IFERROR(INDEX(DFD!$L$2:$L$1048790,MATCH($Q40,DFD!$B$2:$B$1048790,0)),"")</f>
        <v/>
      </c>
      <c r="Z40" s="97">
        <f t="shared" si="1"/>
        <v>45</v>
      </c>
      <c r="AA40" s="87"/>
      <c r="AB40" s="87" t="s">
        <v>72</v>
      </c>
      <c r="AC40" s="87"/>
      <c r="AD40" s="99">
        <v>46043.0</v>
      </c>
      <c r="AE40" s="119">
        <f t="shared" si="2"/>
        <v>1</v>
      </c>
    </row>
    <row r="41" ht="15.75" customHeight="1">
      <c r="A41" s="67"/>
      <c r="B41" s="67" t="s">
        <v>155</v>
      </c>
      <c r="C41" s="81" t="s">
        <v>192</v>
      </c>
      <c r="D41" s="81" t="s">
        <v>51</v>
      </c>
      <c r="E41" s="81">
        <v>1.0</v>
      </c>
      <c r="F41" s="113">
        <v>3200.0</v>
      </c>
      <c r="G41" s="73" t="s">
        <v>53</v>
      </c>
      <c r="H41" s="83">
        <v>46174.0</v>
      </c>
      <c r="I41" s="67" t="s">
        <v>18</v>
      </c>
      <c r="J41" s="67" t="s">
        <v>54</v>
      </c>
      <c r="K41" s="67" t="s">
        <v>83</v>
      </c>
      <c r="L41" s="67" t="s">
        <v>197</v>
      </c>
      <c r="M41" s="67" t="s">
        <v>84</v>
      </c>
      <c r="N41" s="67" t="s">
        <v>20</v>
      </c>
      <c r="O41" s="59" t="s">
        <v>59</v>
      </c>
      <c r="P41" s="59"/>
      <c r="Q41" s="59" t="s">
        <v>157</v>
      </c>
      <c r="R41" s="67" t="s">
        <v>86</v>
      </c>
      <c r="S41" s="59"/>
      <c r="T41" s="59"/>
      <c r="U41" s="77" t="str">
        <f t="array" ref="U41">IFERROR(INDEX(DFD!$D$2:$D$1048791,MATCH($Q41,DFD!$B$2:$B$1048791,0)),"")</f>
        <v/>
      </c>
      <c r="V41" s="77" t="str">
        <f t="array" ref="V41">IFERROR(INDEX(DFD!$F$2:$F$1048791,MATCH($Q41,DFD!$B$2:$B$1048791,0)),"")</f>
        <v/>
      </c>
      <c r="W41" s="84" t="str">
        <f t="array" ref="W41">IFERROR(INDEX(DFD!$E$2:$E$1048791,MATCH($Q41,DFD!$B$2:$B$1048791,0)),"")</f>
        <v/>
      </c>
      <c r="X41" s="84" t="str">
        <f t="array" ref="X41">IFERROR(INDEX(DFD!$K$2:$K$1048791,MATCH($Q41,DFD!$B$2:$B$1048791,0)),"")</f>
        <v/>
      </c>
      <c r="Y41" s="84" t="str">
        <f t="array" ref="Y41">IFERROR(INDEX(DFD!$L$2:$L$1048790,MATCH($Q41,DFD!$B$2:$B$1048790,0)),"")</f>
        <v/>
      </c>
      <c r="Z41" s="84">
        <f t="shared" si="1"/>
        <v>45</v>
      </c>
      <c r="AA41" s="59"/>
      <c r="AB41" s="59" t="s">
        <v>72</v>
      </c>
      <c r="AC41" s="59"/>
      <c r="AD41" s="85">
        <v>46043.0</v>
      </c>
      <c r="AE41" s="114">
        <f t="shared" si="2"/>
        <v>1</v>
      </c>
    </row>
    <row r="42" ht="15.75" customHeight="1">
      <c r="A42" s="92"/>
      <c r="B42" s="92" t="s">
        <v>230</v>
      </c>
      <c r="C42" s="116" t="s">
        <v>232</v>
      </c>
      <c r="D42" s="116" t="s">
        <v>51</v>
      </c>
      <c r="E42" s="116">
        <v>1.0</v>
      </c>
      <c r="F42" s="117">
        <v>4000.0</v>
      </c>
      <c r="G42" s="90" t="s">
        <v>53</v>
      </c>
      <c r="H42" s="118">
        <v>46204.0</v>
      </c>
      <c r="I42" s="92" t="s">
        <v>18</v>
      </c>
      <c r="J42" s="92" t="s">
        <v>54</v>
      </c>
      <c r="K42" s="92" t="s">
        <v>83</v>
      </c>
      <c r="L42" s="92" t="s">
        <v>56</v>
      </c>
      <c r="M42" s="92" t="s">
        <v>84</v>
      </c>
      <c r="N42" s="92" t="s">
        <v>20</v>
      </c>
      <c r="O42" s="87" t="s">
        <v>59</v>
      </c>
      <c r="P42" s="87"/>
      <c r="Q42" s="87" t="s">
        <v>157</v>
      </c>
      <c r="R42" s="92" t="s">
        <v>86</v>
      </c>
      <c r="S42" s="87"/>
      <c r="T42" s="87"/>
      <c r="U42" s="94" t="str">
        <f t="array" ref="U42">IFERROR(INDEX(DFD!$D$2:$D$1048791,MATCH($Q42,DFD!$B$2:$B$1048791,0)),"")</f>
        <v/>
      </c>
      <c r="V42" s="94" t="str">
        <f t="array" ref="V42">IFERROR(INDEX(DFD!$F$2:$F$1048791,MATCH($Q42,DFD!$B$2:$B$1048791,0)),"")</f>
        <v/>
      </c>
      <c r="W42" s="97" t="str">
        <f t="array" ref="W42">IFERROR(INDEX(DFD!$E$2:$E$1048791,MATCH($Q42,DFD!$B$2:$B$1048791,0)),"")</f>
        <v/>
      </c>
      <c r="X42" s="97" t="str">
        <f t="array" ref="X42">IFERROR(INDEX(DFD!$K$2:$K$1048791,MATCH($Q42,DFD!$B$2:$B$1048791,0)),"")</f>
        <v/>
      </c>
      <c r="Y42" s="97" t="str">
        <f t="array" ref="Y42">IFERROR(INDEX(DFD!$L$2:$L$1048790,MATCH($Q42,DFD!$B$2:$B$1048790,0)),"")</f>
        <v/>
      </c>
      <c r="Z42" s="97">
        <f t="shared" si="1"/>
        <v>45</v>
      </c>
      <c r="AA42" s="87"/>
      <c r="AB42" s="87" t="s">
        <v>72</v>
      </c>
      <c r="AC42" s="87"/>
      <c r="AD42" s="99">
        <v>46043.0</v>
      </c>
      <c r="AE42" s="119">
        <f t="shared" si="2"/>
        <v>1</v>
      </c>
    </row>
    <row r="43" ht="15.75" customHeight="1">
      <c r="A43" s="67"/>
      <c r="B43" s="67" t="s">
        <v>105</v>
      </c>
      <c r="C43" s="81" t="s">
        <v>232</v>
      </c>
      <c r="D43" s="81" t="s">
        <v>51</v>
      </c>
      <c r="E43" s="81">
        <v>1.0</v>
      </c>
      <c r="F43" s="113">
        <v>4000.0</v>
      </c>
      <c r="G43" s="73" t="s">
        <v>53</v>
      </c>
      <c r="H43" s="83">
        <v>46204.0</v>
      </c>
      <c r="I43" s="67" t="s">
        <v>18</v>
      </c>
      <c r="J43" s="67" t="s">
        <v>54</v>
      </c>
      <c r="K43" s="67" t="s">
        <v>83</v>
      </c>
      <c r="L43" s="67" t="s">
        <v>56</v>
      </c>
      <c r="M43" s="67" t="s">
        <v>84</v>
      </c>
      <c r="N43" s="67" t="s">
        <v>20</v>
      </c>
      <c r="O43" s="59" t="s">
        <v>59</v>
      </c>
      <c r="P43" s="59"/>
      <c r="Q43" s="59" t="s">
        <v>157</v>
      </c>
      <c r="R43" s="67" t="s">
        <v>86</v>
      </c>
      <c r="S43" s="59"/>
      <c r="T43" s="59"/>
      <c r="U43" s="77" t="str">
        <f t="array" ref="U43">IFERROR(INDEX(DFD!$D$2:$D$1048791,MATCH($Q43,DFD!$B$2:$B$1048791,0)),"")</f>
        <v/>
      </c>
      <c r="V43" s="77" t="str">
        <f t="array" ref="V43">IFERROR(INDEX(DFD!$F$2:$F$1048791,MATCH($Q43,DFD!$B$2:$B$1048791,0)),"")</f>
        <v/>
      </c>
      <c r="W43" s="84" t="str">
        <f t="array" ref="W43">IFERROR(INDEX(DFD!$E$2:$E$1048791,MATCH($Q43,DFD!$B$2:$B$1048791,0)),"")</f>
        <v/>
      </c>
      <c r="X43" s="84" t="str">
        <f t="array" ref="X43">IFERROR(INDEX(DFD!$K$2:$K$1048791,MATCH($Q43,DFD!$B$2:$B$1048791,0)),"")</f>
        <v/>
      </c>
      <c r="Y43" s="84" t="str">
        <f t="array" ref="Y43">IFERROR(INDEX(DFD!$L$2:$L$1048790,MATCH($Q43,DFD!$B$2:$B$1048790,0)),"")</f>
        <v/>
      </c>
      <c r="Z43" s="84">
        <f t="shared" si="1"/>
        <v>45</v>
      </c>
      <c r="AA43" s="59"/>
      <c r="AB43" s="59" t="s">
        <v>72</v>
      </c>
      <c r="AC43" s="59"/>
      <c r="AD43" s="85">
        <v>46043.0</v>
      </c>
      <c r="AE43" s="114">
        <f t="shared" si="2"/>
        <v>1</v>
      </c>
    </row>
    <row r="44" ht="15.75" customHeight="1">
      <c r="A44" s="92"/>
      <c r="B44" s="92" t="s">
        <v>64</v>
      </c>
      <c r="C44" s="116" t="s">
        <v>253</v>
      </c>
      <c r="D44" s="116" t="s">
        <v>51</v>
      </c>
      <c r="E44" s="116">
        <v>4.0</v>
      </c>
      <c r="F44" s="117">
        <v>3200.0</v>
      </c>
      <c r="G44" s="90" t="s">
        <v>53</v>
      </c>
      <c r="H44" s="118">
        <v>46174.0</v>
      </c>
      <c r="I44" s="92" t="s">
        <v>18</v>
      </c>
      <c r="J44" s="92" t="s">
        <v>54</v>
      </c>
      <c r="K44" s="92" t="s">
        <v>83</v>
      </c>
      <c r="L44" s="92" t="s">
        <v>56</v>
      </c>
      <c r="M44" s="92" t="s">
        <v>84</v>
      </c>
      <c r="N44" s="92" t="s">
        <v>20</v>
      </c>
      <c r="O44" s="87" t="s">
        <v>59</v>
      </c>
      <c r="P44" s="87"/>
      <c r="Q44" s="87" t="s">
        <v>254</v>
      </c>
      <c r="R44" s="92" t="s">
        <v>86</v>
      </c>
      <c r="S44" s="87"/>
      <c r="T44" s="87"/>
      <c r="U44" s="94" t="str">
        <f t="array" ref="U44">IFERROR(INDEX(DFD!$D$2:$D$1048791,MATCH($Q44,DFD!$B$2:$B$1048791,0)),"")</f>
        <v/>
      </c>
      <c r="V44" s="94" t="str">
        <f t="array" ref="V44">IFERROR(INDEX(DFD!$F$2:$F$1048791,MATCH($Q44,DFD!$B$2:$B$1048791,0)),"")</f>
        <v/>
      </c>
      <c r="W44" s="97" t="str">
        <f t="array" ref="W44">IFERROR(INDEX(DFD!$E$2:$E$1048791,MATCH($Q44,DFD!$B$2:$B$1048791,0)),"")</f>
        <v/>
      </c>
      <c r="X44" s="97" t="str">
        <f t="array" ref="X44">IFERROR(INDEX(DFD!$K$2:$K$1048791,MATCH($Q44,DFD!$B$2:$B$1048791,0)),"")</f>
        <v/>
      </c>
      <c r="Y44" s="97" t="str">
        <f t="array" ref="Y44">IFERROR(INDEX(DFD!$L$2:$L$1048790,MATCH($Q44,DFD!$B$2:$B$1048790,0)),"")</f>
        <v/>
      </c>
      <c r="Z44" s="97">
        <f t="shared" si="1"/>
        <v>45</v>
      </c>
      <c r="AA44" s="87"/>
      <c r="AB44" s="87" t="s">
        <v>72</v>
      </c>
      <c r="AC44" s="87"/>
      <c r="AD44" s="99">
        <v>46043.0</v>
      </c>
      <c r="AE44" s="119">
        <f t="shared" si="2"/>
        <v>1</v>
      </c>
    </row>
    <row r="45" ht="15.75" customHeight="1">
      <c r="A45" s="67"/>
      <c r="B45" s="67" t="s">
        <v>92</v>
      </c>
      <c r="C45" s="81" t="s">
        <v>253</v>
      </c>
      <c r="D45" s="81" t="s">
        <v>51</v>
      </c>
      <c r="E45" s="81">
        <v>2.0</v>
      </c>
      <c r="F45" s="113">
        <v>1600.0</v>
      </c>
      <c r="G45" s="73" t="s">
        <v>53</v>
      </c>
      <c r="H45" s="83">
        <v>46174.0</v>
      </c>
      <c r="I45" s="67" t="s">
        <v>18</v>
      </c>
      <c r="J45" s="67" t="s">
        <v>54</v>
      </c>
      <c r="K45" s="67" t="s">
        <v>83</v>
      </c>
      <c r="L45" s="67" t="s">
        <v>56</v>
      </c>
      <c r="M45" s="67" t="s">
        <v>84</v>
      </c>
      <c r="N45" s="67" t="s">
        <v>20</v>
      </c>
      <c r="O45" s="59" t="s">
        <v>59</v>
      </c>
      <c r="P45" s="59"/>
      <c r="Q45" s="59" t="s">
        <v>254</v>
      </c>
      <c r="R45" s="67" t="s">
        <v>86</v>
      </c>
      <c r="S45" s="59"/>
      <c r="T45" s="59"/>
      <c r="U45" s="77" t="str">
        <f t="array" ref="U45">IFERROR(INDEX(DFD!$D$2:$D$1048791,MATCH($Q45,DFD!$B$2:$B$1048791,0)),"")</f>
        <v/>
      </c>
      <c r="V45" s="77" t="str">
        <f t="array" ref="V45">IFERROR(INDEX(DFD!$F$2:$F$1048791,MATCH($Q45,DFD!$B$2:$B$1048791,0)),"")</f>
        <v/>
      </c>
      <c r="W45" s="84" t="str">
        <f t="array" ref="W45">IFERROR(INDEX(DFD!$E$2:$E$1048791,MATCH($Q45,DFD!$B$2:$B$1048791,0)),"")</f>
        <v/>
      </c>
      <c r="X45" s="84" t="str">
        <f t="array" ref="X45">IFERROR(INDEX(DFD!$K$2:$K$1048791,MATCH($Q45,DFD!$B$2:$B$1048791,0)),"")</f>
        <v/>
      </c>
      <c r="Y45" s="84" t="str">
        <f t="array" ref="Y45">IFERROR(INDEX(DFD!$L$2:$L$1048790,MATCH($Q45,DFD!$B$2:$B$1048790,0)),"")</f>
        <v/>
      </c>
      <c r="Z45" s="84">
        <f t="shared" si="1"/>
        <v>45</v>
      </c>
      <c r="AA45" s="59"/>
      <c r="AB45" s="59" t="s">
        <v>72</v>
      </c>
      <c r="AC45" s="59"/>
      <c r="AD45" s="85">
        <v>46043.0</v>
      </c>
      <c r="AE45" s="114">
        <f t="shared" si="2"/>
        <v>1</v>
      </c>
    </row>
    <row r="46" ht="15.75" customHeight="1">
      <c r="A46" s="92"/>
      <c r="B46" s="92" t="s">
        <v>87</v>
      </c>
      <c r="C46" s="116" t="s">
        <v>253</v>
      </c>
      <c r="D46" s="116" t="s">
        <v>51</v>
      </c>
      <c r="E46" s="116">
        <v>2.0</v>
      </c>
      <c r="F46" s="117">
        <v>1600.0</v>
      </c>
      <c r="G46" s="90" t="s">
        <v>53</v>
      </c>
      <c r="H46" s="118">
        <v>46174.0</v>
      </c>
      <c r="I46" s="92" t="s">
        <v>18</v>
      </c>
      <c r="J46" s="92" t="s">
        <v>54</v>
      </c>
      <c r="K46" s="92" t="s">
        <v>83</v>
      </c>
      <c r="L46" s="92" t="s">
        <v>56</v>
      </c>
      <c r="M46" s="92" t="s">
        <v>84</v>
      </c>
      <c r="N46" s="92" t="s">
        <v>20</v>
      </c>
      <c r="O46" s="87" t="s">
        <v>59</v>
      </c>
      <c r="P46" s="87"/>
      <c r="Q46" s="87" t="s">
        <v>254</v>
      </c>
      <c r="R46" s="92" t="s">
        <v>86</v>
      </c>
      <c r="S46" s="87"/>
      <c r="T46" s="87"/>
      <c r="U46" s="94" t="str">
        <f t="array" ref="U46">IFERROR(INDEX(DFD!$D$2:$D$1048791,MATCH($Q46,DFD!$B$2:$B$1048791,0)),"")</f>
        <v/>
      </c>
      <c r="V46" s="94" t="str">
        <f t="array" ref="V46">IFERROR(INDEX(DFD!$F$2:$F$1048791,MATCH($Q46,DFD!$B$2:$B$1048791,0)),"")</f>
        <v/>
      </c>
      <c r="W46" s="97" t="str">
        <f t="array" ref="W46">IFERROR(INDEX(DFD!$E$2:$E$1048791,MATCH($Q46,DFD!$B$2:$B$1048791,0)),"")</f>
        <v/>
      </c>
      <c r="X46" s="97" t="str">
        <f t="array" ref="X46">IFERROR(INDEX(DFD!$K$2:$K$1048791,MATCH($Q46,DFD!$B$2:$B$1048791,0)),"")</f>
        <v/>
      </c>
      <c r="Y46" s="97" t="str">
        <f t="array" ref="Y46">IFERROR(INDEX(DFD!$L$2:$L$1048790,MATCH($Q46,DFD!$B$2:$B$1048790,0)),"")</f>
        <v/>
      </c>
      <c r="Z46" s="97">
        <f t="shared" si="1"/>
        <v>45</v>
      </c>
      <c r="AA46" s="87"/>
      <c r="AB46" s="87" t="s">
        <v>72</v>
      </c>
      <c r="AC46" s="87"/>
      <c r="AD46" s="99">
        <v>46043.0</v>
      </c>
      <c r="AE46" s="119">
        <f t="shared" si="2"/>
        <v>1</v>
      </c>
    </row>
    <row r="47" ht="15.75" customHeight="1">
      <c r="A47" s="67"/>
      <c r="B47" s="67" t="s">
        <v>105</v>
      </c>
      <c r="C47" s="81" t="s">
        <v>253</v>
      </c>
      <c r="D47" s="81" t="s">
        <v>51</v>
      </c>
      <c r="E47" s="81">
        <v>1.0</v>
      </c>
      <c r="F47" s="113">
        <v>800.0</v>
      </c>
      <c r="G47" s="73" t="s">
        <v>53</v>
      </c>
      <c r="H47" s="83">
        <v>46174.0</v>
      </c>
      <c r="I47" s="67" t="s">
        <v>18</v>
      </c>
      <c r="J47" s="67" t="s">
        <v>54</v>
      </c>
      <c r="K47" s="67" t="s">
        <v>83</v>
      </c>
      <c r="L47" s="67" t="s">
        <v>56</v>
      </c>
      <c r="M47" s="67" t="s">
        <v>84</v>
      </c>
      <c r="N47" s="67" t="s">
        <v>20</v>
      </c>
      <c r="O47" s="59" t="s">
        <v>59</v>
      </c>
      <c r="P47" s="59"/>
      <c r="Q47" s="59" t="s">
        <v>254</v>
      </c>
      <c r="R47" s="67" t="s">
        <v>86</v>
      </c>
      <c r="S47" s="59"/>
      <c r="T47" s="59"/>
      <c r="U47" s="77" t="str">
        <f t="array" ref="U47">IFERROR(INDEX(DFD!$D$2:$D$1048791,MATCH($Q47,DFD!$B$2:$B$1048791,0)),"")</f>
        <v/>
      </c>
      <c r="V47" s="77" t="str">
        <f t="array" ref="V47">IFERROR(INDEX(DFD!$F$2:$F$1048791,MATCH($Q47,DFD!$B$2:$B$1048791,0)),"")</f>
        <v/>
      </c>
      <c r="W47" s="84" t="str">
        <f t="array" ref="W47">IFERROR(INDEX(DFD!$E$2:$E$1048791,MATCH($Q47,DFD!$B$2:$B$1048791,0)),"")</f>
        <v/>
      </c>
      <c r="X47" s="84" t="str">
        <f t="array" ref="X47">IFERROR(INDEX(DFD!$K$2:$K$1048791,MATCH($Q47,DFD!$B$2:$B$1048791,0)),"")</f>
        <v/>
      </c>
      <c r="Y47" s="84" t="str">
        <f t="array" ref="Y47">IFERROR(INDEX(DFD!$L$2:$L$1048790,MATCH($Q47,DFD!$B$2:$B$1048790,0)),"")</f>
        <v/>
      </c>
      <c r="Z47" s="84">
        <f t="shared" si="1"/>
        <v>45</v>
      </c>
      <c r="AA47" s="59"/>
      <c r="AB47" s="59" t="s">
        <v>72</v>
      </c>
      <c r="AC47" s="59"/>
      <c r="AD47" s="85">
        <v>46043.0</v>
      </c>
      <c r="AE47" s="114">
        <f t="shared" si="2"/>
        <v>1</v>
      </c>
    </row>
    <row r="48" ht="15.75" customHeight="1">
      <c r="A48" s="92"/>
      <c r="B48" s="92" t="s">
        <v>107</v>
      </c>
      <c r="C48" s="116" t="s">
        <v>253</v>
      </c>
      <c r="D48" s="116" t="s">
        <v>51</v>
      </c>
      <c r="E48" s="116">
        <v>1.0</v>
      </c>
      <c r="F48" s="117">
        <v>800.0</v>
      </c>
      <c r="G48" s="90" t="s">
        <v>53</v>
      </c>
      <c r="H48" s="118">
        <v>46174.0</v>
      </c>
      <c r="I48" s="92" t="s">
        <v>18</v>
      </c>
      <c r="J48" s="92" t="s">
        <v>54</v>
      </c>
      <c r="K48" s="92" t="s">
        <v>83</v>
      </c>
      <c r="L48" s="92" t="s">
        <v>56</v>
      </c>
      <c r="M48" s="92" t="s">
        <v>84</v>
      </c>
      <c r="N48" s="92" t="s">
        <v>20</v>
      </c>
      <c r="O48" s="87" t="s">
        <v>59</v>
      </c>
      <c r="P48" s="87"/>
      <c r="Q48" s="87" t="s">
        <v>254</v>
      </c>
      <c r="R48" s="92" t="s">
        <v>86</v>
      </c>
      <c r="S48" s="87"/>
      <c r="T48" s="87"/>
      <c r="U48" s="94" t="str">
        <f t="array" ref="U48">IFERROR(INDEX(DFD!$D$2:$D$1048791,MATCH($Q48,DFD!$B$2:$B$1048791,0)),"")</f>
        <v/>
      </c>
      <c r="V48" s="94" t="str">
        <f t="array" ref="V48">IFERROR(INDEX(DFD!$F$2:$F$1048791,MATCH($Q48,DFD!$B$2:$B$1048791,0)),"")</f>
        <v/>
      </c>
      <c r="W48" s="97" t="str">
        <f t="array" ref="W48">IFERROR(INDEX(DFD!$E$2:$E$1048791,MATCH($Q48,DFD!$B$2:$B$1048791,0)),"")</f>
        <v/>
      </c>
      <c r="X48" s="97" t="str">
        <f t="array" ref="X48">IFERROR(INDEX(DFD!$K$2:$K$1048791,MATCH($Q48,DFD!$B$2:$B$1048791,0)),"")</f>
        <v/>
      </c>
      <c r="Y48" s="97" t="str">
        <f t="array" ref="Y48">IFERROR(INDEX(DFD!$L$2:$L$1048790,MATCH($Q48,DFD!$B$2:$B$1048790,0)),"")</f>
        <v/>
      </c>
      <c r="Z48" s="97">
        <f t="shared" si="1"/>
        <v>45</v>
      </c>
      <c r="AA48" s="87"/>
      <c r="AB48" s="87" t="s">
        <v>72</v>
      </c>
      <c r="AC48" s="87"/>
      <c r="AD48" s="99">
        <v>46043.0</v>
      </c>
      <c r="AE48" s="119">
        <f t="shared" si="2"/>
        <v>1</v>
      </c>
    </row>
    <row r="49" ht="15.75" customHeight="1">
      <c r="A49" s="67"/>
      <c r="B49" s="67" t="s">
        <v>95</v>
      </c>
      <c r="C49" s="81" t="s">
        <v>253</v>
      </c>
      <c r="D49" s="81" t="s">
        <v>51</v>
      </c>
      <c r="E49" s="81">
        <v>1.0</v>
      </c>
      <c r="F49" s="113">
        <v>800.0</v>
      </c>
      <c r="G49" s="73" t="s">
        <v>53</v>
      </c>
      <c r="H49" s="83">
        <v>46174.0</v>
      </c>
      <c r="I49" s="67" t="s">
        <v>18</v>
      </c>
      <c r="J49" s="67" t="s">
        <v>54</v>
      </c>
      <c r="K49" s="67" t="s">
        <v>83</v>
      </c>
      <c r="L49" s="67" t="s">
        <v>56</v>
      </c>
      <c r="M49" s="67" t="s">
        <v>84</v>
      </c>
      <c r="N49" s="67" t="s">
        <v>20</v>
      </c>
      <c r="O49" s="59" t="s">
        <v>59</v>
      </c>
      <c r="P49" s="59"/>
      <c r="Q49" s="59" t="s">
        <v>254</v>
      </c>
      <c r="R49" s="67" t="s">
        <v>86</v>
      </c>
      <c r="S49" s="59"/>
      <c r="T49" s="59"/>
      <c r="U49" s="77" t="str">
        <f t="array" ref="U49">IFERROR(INDEX(DFD!$D$2:$D$1048791,MATCH($Q49,DFD!$B$2:$B$1048791,0)),"")</f>
        <v/>
      </c>
      <c r="V49" s="77" t="str">
        <f t="array" ref="V49">IFERROR(INDEX(DFD!$F$2:$F$1048791,MATCH($Q49,DFD!$B$2:$B$1048791,0)),"")</f>
        <v/>
      </c>
      <c r="W49" s="84" t="str">
        <f t="array" ref="W49">IFERROR(INDEX(DFD!$E$2:$E$1048791,MATCH($Q49,DFD!$B$2:$B$1048791,0)),"")</f>
        <v/>
      </c>
      <c r="X49" s="84" t="str">
        <f t="array" ref="X49">IFERROR(INDEX(DFD!$K$2:$K$1048791,MATCH($Q49,DFD!$B$2:$B$1048791,0)),"")</f>
        <v/>
      </c>
      <c r="Y49" s="84" t="str">
        <f t="array" ref="Y49">IFERROR(INDEX(DFD!$L$2:$L$1048790,MATCH($Q49,DFD!$B$2:$B$1048790,0)),"")</f>
        <v/>
      </c>
      <c r="Z49" s="84">
        <f t="shared" si="1"/>
        <v>45</v>
      </c>
      <c r="AA49" s="59"/>
      <c r="AB49" s="59" t="s">
        <v>72</v>
      </c>
      <c r="AC49" s="59"/>
      <c r="AD49" s="85">
        <v>46043.0</v>
      </c>
      <c r="AE49" s="114">
        <f t="shared" si="2"/>
        <v>1</v>
      </c>
    </row>
    <row r="50" ht="15.75" customHeight="1">
      <c r="A50" s="92"/>
      <c r="B50" s="92" t="s">
        <v>171</v>
      </c>
      <c r="C50" s="116" t="s">
        <v>270</v>
      </c>
      <c r="D50" s="116" t="s">
        <v>51</v>
      </c>
      <c r="E50" s="116">
        <v>2.0</v>
      </c>
      <c r="F50" s="117">
        <v>5000.0</v>
      </c>
      <c r="G50" s="90" t="s">
        <v>53</v>
      </c>
      <c r="H50" s="118">
        <v>46204.0</v>
      </c>
      <c r="I50" s="92" t="s">
        <v>18</v>
      </c>
      <c r="J50" s="92" t="s">
        <v>54</v>
      </c>
      <c r="K50" s="92" t="s">
        <v>66</v>
      </c>
      <c r="L50" s="92" t="s">
        <v>56</v>
      </c>
      <c r="M50" s="92" t="s">
        <v>84</v>
      </c>
      <c r="N50" s="92" t="s">
        <v>20</v>
      </c>
      <c r="O50" s="87" t="s">
        <v>59</v>
      </c>
      <c r="P50" s="87"/>
      <c r="Q50" s="87" t="s">
        <v>254</v>
      </c>
      <c r="R50" s="92" t="s">
        <v>86</v>
      </c>
      <c r="S50" s="87"/>
      <c r="T50" s="87"/>
      <c r="U50" s="94" t="str">
        <f t="array" ref="U50">IFERROR(INDEX(DFD!$D$2:$D$1048791,MATCH($Q50,DFD!$B$2:$B$1048791,0)),"")</f>
        <v/>
      </c>
      <c r="V50" s="94" t="str">
        <f t="array" ref="V50">IFERROR(INDEX(DFD!$F$2:$F$1048791,MATCH($Q50,DFD!$B$2:$B$1048791,0)),"")</f>
        <v/>
      </c>
      <c r="W50" s="97" t="str">
        <f t="array" ref="W50">IFERROR(INDEX(DFD!$E$2:$E$1048791,MATCH($Q50,DFD!$B$2:$B$1048791,0)),"")</f>
        <v/>
      </c>
      <c r="X50" s="97" t="str">
        <f t="array" ref="X50">IFERROR(INDEX(DFD!$K$2:$K$1048791,MATCH($Q50,DFD!$B$2:$B$1048791,0)),"")</f>
        <v/>
      </c>
      <c r="Y50" s="97" t="str">
        <f t="array" ref="Y50">IFERROR(INDEX(DFD!$L$2:$L$1048790,MATCH($Q50,DFD!$B$2:$B$1048790,0)),"")</f>
        <v/>
      </c>
      <c r="Z50" s="97">
        <f t="shared" si="1"/>
        <v>45</v>
      </c>
      <c r="AA50" s="87"/>
      <c r="AB50" s="87" t="s">
        <v>72</v>
      </c>
      <c r="AC50" s="87"/>
      <c r="AD50" s="99">
        <v>46043.0</v>
      </c>
      <c r="AE50" s="119">
        <f t="shared" si="2"/>
        <v>1</v>
      </c>
    </row>
    <row r="51" ht="15.75" customHeight="1">
      <c r="A51" s="67"/>
      <c r="B51" s="67" t="s">
        <v>123</v>
      </c>
      <c r="C51" s="81" t="s">
        <v>270</v>
      </c>
      <c r="D51" s="81" t="s">
        <v>51</v>
      </c>
      <c r="E51" s="81">
        <v>2.0</v>
      </c>
      <c r="F51" s="113">
        <v>5000.0</v>
      </c>
      <c r="G51" s="73" t="s">
        <v>53</v>
      </c>
      <c r="H51" s="83">
        <v>46204.0</v>
      </c>
      <c r="I51" s="67" t="s">
        <v>18</v>
      </c>
      <c r="J51" s="67" t="s">
        <v>54</v>
      </c>
      <c r="K51" s="67" t="s">
        <v>66</v>
      </c>
      <c r="L51" s="67" t="s">
        <v>56</v>
      </c>
      <c r="M51" s="67" t="s">
        <v>84</v>
      </c>
      <c r="N51" s="67" t="s">
        <v>20</v>
      </c>
      <c r="O51" s="59" t="s">
        <v>59</v>
      </c>
      <c r="P51" s="59"/>
      <c r="Q51" s="59" t="s">
        <v>254</v>
      </c>
      <c r="R51" s="67" t="s">
        <v>86</v>
      </c>
      <c r="S51" s="59"/>
      <c r="T51" s="59"/>
      <c r="U51" s="77" t="str">
        <f t="array" ref="U51">IFERROR(INDEX(DFD!$D$2:$D$1048791,MATCH($Q51,DFD!$B$2:$B$1048791,0)),"")</f>
        <v/>
      </c>
      <c r="V51" s="77" t="str">
        <f t="array" ref="V51">IFERROR(INDEX(DFD!$F$2:$F$1048791,MATCH($Q51,DFD!$B$2:$B$1048791,0)),"")</f>
        <v/>
      </c>
      <c r="W51" s="84" t="str">
        <f t="array" ref="W51">IFERROR(INDEX(DFD!$E$2:$E$1048791,MATCH($Q51,DFD!$B$2:$B$1048791,0)),"")</f>
        <v/>
      </c>
      <c r="X51" s="84" t="str">
        <f t="array" ref="X51">IFERROR(INDEX(DFD!$K$2:$K$1048791,MATCH($Q51,DFD!$B$2:$B$1048791,0)),"")</f>
        <v/>
      </c>
      <c r="Y51" s="84" t="str">
        <f t="array" ref="Y51">IFERROR(INDEX(DFD!$L$2:$L$1048790,MATCH($Q51,DFD!$B$2:$B$1048790,0)),"")</f>
        <v/>
      </c>
      <c r="Z51" s="84">
        <f t="shared" si="1"/>
        <v>45</v>
      </c>
      <c r="AA51" s="59"/>
      <c r="AB51" s="59" t="s">
        <v>72</v>
      </c>
      <c r="AC51" s="59"/>
      <c r="AD51" s="85">
        <v>46043.0</v>
      </c>
      <c r="AE51" s="114">
        <f t="shared" si="2"/>
        <v>1</v>
      </c>
    </row>
    <row r="52" ht="15.75" customHeight="1">
      <c r="A52" s="92"/>
      <c r="B52" s="104" t="s">
        <v>95</v>
      </c>
      <c r="C52" s="116" t="s">
        <v>270</v>
      </c>
      <c r="D52" s="116" t="s">
        <v>51</v>
      </c>
      <c r="E52" s="116">
        <v>2.0</v>
      </c>
      <c r="F52" s="117">
        <v>5000.0</v>
      </c>
      <c r="G52" s="90" t="s">
        <v>53</v>
      </c>
      <c r="H52" s="118">
        <v>46204.0</v>
      </c>
      <c r="I52" s="92" t="s">
        <v>18</v>
      </c>
      <c r="J52" s="92" t="s">
        <v>54</v>
      </c>
      <c r="K52" s="92" t="s">
        <v>83</v>
      </c>
      <c r="L52" s="92" t="s">
        <v>56</v>
      </c>
      <c r="M52" s="92" t="s">
        <v>84</v>
      </c>
      <c r="N52" s="92" t="s">
        <v>20</v>
      </c>
      <c r="O52" s="87" t="s">
        <v>59</v>
      </c>
      <c r="P52" s="87"/>
      <c r="Q52" s="87" t="s">
        <v>254</v>
      </c>
      <c r="R52" s="92" t="s">
        <v>86</v>
      </c>
      <c r="S52" s="87"/>
      <c r="T52" s="87"/>
      <c r="U52" s="94" t="str">
        <f t="array" ref="U52">IFERROR(INDEX(DFD!$D$2:$D$1048791,MATCH($Q52,DFD!$B$2:$B$1048791,0)),"")</f>
        <v/>
      </c>
      <c r="V52" s="94" t="str">
        <f t="array" ref="V52">IFERROR(INDEX(DFD!$F$2:$F$1048791,MATCH($Q52,DFD!$B$2:$B$1048791,0)),"")</f>
        <v/>
      </c>
      <c r="W52" s="97" t="str">
        <f t="array" ref="W52">IFERROR(INDEX(DFD!$E$2:$E$1048791,MATCH($Q52,DFD!$B$2:$B$1048791,0)),"")</f>
        <v/>
      </c>
      <c r="X52" s="97" t="str">
        <f t="array" ref="X52">IFERROR(INDEX(DFD!$K$2:$K$1048791,MATCH($Q52,DFD!$B$2:$B$1048791,0)),"")</f>
        <v/>
      </c>
      <c r="Y52" s="97" t="str">
        <f t="array" ref="Y52">IFERROR(INDEX(DFD!$L$2:$L$1048790,MATCH($Q52,DFD!$B$2:$B$1048790,0)),"")</f>
        <v/>
      </c>
      <c r="Z52" s="97">
        <f t="shared" si="1"/>
        <v>45</v>
      </c>
      <c r="AA52" s="87"/>
      <c r="AB52" s="87" t="s">
        <v>72</v>
      </c>
      <c r="AC52" s="87"/>
      <c r="AD52" s="99">
        <v>46043.0</v>
      </c>
      <c r="AE52" s="119">
        <f t="shared" si="2"/>
        <v>1</v>
      </c>
    </row>
    <row r="53" ht="15.75" customHeight="1">
      <c r="A53" s="67"/>
      <c r="B53" s="67" t="s">
        <v>87</v>
      </c>
      <c r="C53" s="81" t="s">
        <v>270</v>
      </c>
      <c r="D53" s="81" t="s">
        <v>51</v>
      </c>
      <c r="E53" s="81">
        <v>1.0</v>
      </c>
      <c r="F53" s="113">
        <v>2500.0</v>
      </c>
      <c r="G53" s="73" t="s">
        <v>53</v>
      </c>
      <c r="H53" s="83">
        <v>46174.0</v>
      </c>
      <c r="I53" s="67" t="s">
        <v>18</v>
      </c>
      <c r="J53" s="67" t="s">
        <v>54</v>
      </c>
      <c r="K53" s="67" t="s">
        <v>83</v>
      </c>
      <c r="L53" s="67" t="s">
        <v>56</v>
      </c>
      <c r="M53" s="67" t="s">
        <v>84</v>
      </c>
      <c r="N53" s="67" t="s">
        <v>20</v>
      </c>
      <c r="O53" s="59" t="s">
        <v>59</v>
      </c>
      <c r="P53" s="59"/>
      <c r="Q53" s="59" t="s">
        <v>254</v>
      </c>
      <c r="R53" s="67" t="s">
        <v>86</v>
      </c>
      <c r="S53" s="59"/>
      <c r="T53" s="59"/>
      <c r="U53" s="77" t="str">
        <f t="array" ref="U53">IFERROR(INDEX(DFD!$D$2:$D$1048791,MATCH($Q53,DFD!$B$2:$B$1048791,0)),"")</f>
        <v/>
      </c>
      <c r="V53" s="77" t="str">
        <f t="array" ref="V53">IFERROR(INDEX(DFD!$F$2:$F$1048791,MATCH($Q53,DFD!$B$2:$B$1048791,0)),"")</f>
        <v/>
      </c>
      <c r="W53" s="84" t="str">
        <f t="array" ref="W53">IFERROR(INDEX(DFD!$E$2:$E$1048791,MATCH($Q53,DFD!$B$2:$B$1048791,0)),"")</f>
        <v/>
      </c>
      <c r="X53" s="84" t="str">
        <f t="array" ref="X53">IFERROR(INDEX(DFD!$K$2:$K$1048791,MATCH($Q53,DFD!$B$2:$B$1048791,0)),"")</f>
        <v/>
      </c>
      <c r="Y53" s="84" t="str">
        <f t="array" ref="Y53">IFERROR(INDEX(DFD!$L$2:$L$1048790,MATCH($Q53,DFD!$B$2:$B$1048790,0)),"")</f>
        <v/>
      </c>
      <c r="Z53" s="84">
        <f t="shared" si="1"/>
        <v>45</v>
      </c>
      <c r="AA53" s="59"/>
      <c r="AB53" s="59" t="s">
        <v>72</v>
      </c>
      <c r="AC53" s="59"/>
      <c r="AD53" s="85">
        <v>46043.0</v>
      </c>
      <c r="AE53" s="114">
        <f t="shared" si="2"/>
        <v>1</v>
      </c>
    </row>
    <row r="54" ht="15.75" customHeight="1">
      <c r="A54" s="92"/>
      <c r="B54" s="92" t="s">
        <v>105</v>
      </c>
      <c r="C54" s="116" t="s">
        <v>283</v>
      </c>
      <c r="D54" s="116" t="s">
        <v>51</v>
      </c>
      <c r="E54" s="116">
        <v>2.0</v>
      </c>
      <c r="F54" s="117">
        <v>800.0</v>
      </c>
      <c r="G54" s="90" t="s">
        <v>53</v>
      </c>
      <c r="H54" s="118">
        <v>46174.0</v>
      </c>
      <c r="I54" s="92" t="s">
        <v>18</v>
      </c>
      <c r="J54" s="92" t="s">
        <v>54</v>
      </c>
      <c r="K54" s="92" t="s">
        <v>83</v>
      </c>
      <c r="L54" s="92" t="s">
        <v>56</v>
      </c>
      <c r="M54" s="92" t="s">
        <v>84</v>
      </c>
      <c r="N54" s="92" t="s">
        <v>20</v>
      </c>
      <c r="O54" s="87" t="s">
        <v>59</v>
      </c>
      <c r="P54" s="87"/>
      <c r="Q54" s="87" t="s">
        <v>254</v>
      </c>
      <c r="R54" s="92" t="s">
        <v>86</v>
      </c>
      <c r="S54" s="87"/>
      <c r="T54" s="87"/>
      <c r="U54" s="94" t="str">
        <f t="array" ref="U54">IFERROR(INDEX(DFD!$D$2:$D$1048791,MATCH($Q54,DFD!$B$2:$B$1048791,0)),"")</f>
        <v/>
      </c>
      <c r="V54" s="94" t="str">
        <f t="array" ref="V54">IFERROR(INDEX(DFD!$F$2:$F$1048791,MATCH($Q54,DFD!$B$2:$B$1048791,0)),"")</f>
        <v/>
      </c>
      <c r="W54" s="97" t="str">
        <f t="array" ref="W54">IFERROR(INDEX(DFD!$E$2:$E$1048791,MATCH($Q54,DFD!$B$2:$B$1048791,0)),"")</f>
        <v/>
      </c>
      <c r="X54" s="97" t="str">
        <f t="array" ref="X54">IFERROR(INDEX(DFD!$K$2:$K$1048791,MATCH($Q54,DFD!$B$2:$B$1048791,0)),"")</f>
        <v/>
      </c>
      <c r="Y54" s="97" t="str">
        <f t="array" ref="Y54">IFERROR(INDEX(DFD!$L$2:$L$1048790,MATCH($Q54,DFD!$B$2:$B$1048790,0)),"")</f>
        <v/>
      </c>
      <c r="Z54" s="97">
        <f t="shared" si="1"/>
        <v>45</v>
      </c>
      <c r="AA54" s="87"/>
      <c r="AB54" s="87" t="s">
        <v>72</v>
      </c>
      <c r="AC54" s="87"/>
      <c r="AD54" s="99">
        <v>46043.0</v>
      </c>
      <c r="AE54" s="119">
        <f t="shared" si="2"/>
        <v>1</v>
      </c>
    </row>
    <row r="55" ht="15.75" customHeight="1">
      <c r="A55" s="67"/>
      <c r="B55" s="67" t="s">
        <v>92</v>
      </c>
      <c r="C55" s="81" t="s">
        <v>283</v>
      </c>
      <c r="D55" s="81" t="s">
        <v>51</v>
      </c>
      <c r="E55" s="81">
        <v>2.0</v>
      </c>
      <c r="F55" s="113">
        <v>800.0</v>
      </c>
      <c r="G55" s="73" t="s">
        <v>53</v>
      </c>
      <c r="H55" s="83">
        <v>46174.0</v>
      </c>
      <c r="I55" s="67" t="s">
        <v>18</v>
      </c>
      <c r="J55" s="67" t="s">
        <v>54</v>
      </c>
      <c r="K55" s="67" t="s">
        <v>83</v>
      </c>
      <c r="L55" s="67" t="s">
        <v>56</v>
      </c>
      <c r="M55" s="67" t="s">
        <v>84</v>
      </c>
      <c r="N55" s="67" t="s">
        <v>20</v>
      </c>
      <c r="O55" s="59" t="s">
        <v>59</v>
      </c>
      <c r="P55" s="59"/>
      <c r="Q55" s="59" t="s">
        <v>254</v>
      </c>
      <c r="R55" s="67" t="s">
        <v>86</v>
      </c>
      <c r="S55" s="59"/>
      <c r="T55" s="59"/>
      <c r="U55" s="77" t="str">
        <f t="array" ref="U55">IFERROR(INDEX(DFD!$D$2:$D$1048791,MATCH($Q55,DFD!$B$2:$B$1048791,0)),"")</f>
        <v/>
      </c>
      <c r="V55" s="77" t="str">
        <f t="array" ref="V55">IFERROR(INDEX(DFD!$F$2:$F$1048791,MATCH($Q55,DFD!$B$2:$B$1048791,0)),"")</f>
        <v/>
      </c>
      <c r="W55" s="84" t="str">
        <f t="array" ref="W55">IFERROR(INDEX(DFD!$E$2:$E$1048791,MATCH($Q55,DFD!$B$2:$B$1048791,0)),"")</f>
        <v/>
      </c>
      <c r="X55" s="84" t="str">
        <f t="array" ref="X55">IFERROR(INDEX(DFD!$K$2:$K$1048791,MATCH($Q55,DFD!$B$2:$B$1048791,0)),"")</f>
        <v/>
      </c>
      <c r="Y55" s="84" t="str">
        <f t="array" ref="Y55">IFERROR(INDEX(DFD!$L$2:$L$1048790,MATCH($Q55,DFD!$B$2:$B$1048790,0)),"")</f>
        <v/>
      </c>
      <c r="Z55" s="84">
        <f t="shared" si="1"/>
        <v>45</v>
      </c>
      <c r="AA55" s="59"/>
      <c r="AB55" s="59" t="s">
        <v>72</v>
      </c>
      <c r="AC55" s="59"/>
      <c r="AD55" s="85">
        <v>46043.0</v>
      </c>
      <c r="AE55" s="114">
        <f t="shared" si="2"/>
        <v>1</v>
      </c>
    </row>
    <row r="56" ht="15.75" customHeight="1">
      <c r="A56" s="92"/>
      <c r="B56" s="92" t="s">
        <v>95</v>
      </c>
      <c r="C56" s="116" t="s">
        <v>292</v>
      </c>
      <c r="D56" s="116" t="s">
        <v>51</v>
      </c>
      <c r="E56" s="116">
        <v>1.0</v>
      </c>
      <c r="F56" s="117">
        <v>1550.0</v>
      </c>
      <c r="G56" s="90" t="s">
        <v>53</v>
      </c>
      <c r="H56" s="118">
        <v>46174.0</v>
      </c>
      <c r="I56" s="92" t="s">
        <v>18</v>
      </c>
      <c r="J56" s="92" t="s">
        <v>54</v>
      </c>
      <c r="K56" s="92" t="s">
        <v>83</v>
      </c>
      <c r="L56" s="92" t="s">
        <v>56</v>
      </c>
      <c r="M56" s="92" t="s">
        <v>84</v>
      </c>
      <c r="N56" s="92" t="s">
        <v>20</v>
      </c>
      <c r="O56" s="87" t="s">
        <v>59</v>
      </c>
      <c r="P56" s="87"/>
      <c r="Q56" s="87" t="s">
        <v>293</v>
      </c>
      <c r="R56" s="92" t="s">
        <v>86</v>
      </c>
      <c r="S56" s="87"/>
      <c r="T56" s="87"/>
      <c r="U56" s="94" t="str">
        <f t="array" ref="U56">IFERROR(INDEX(DFD!$D$2:$D$1048791,MATCH($Q56,DFD!$B$2:$B$1048791,0)),"")</f>
        <v/>
      </c>
      <c r="V56" s="94" t="str">
        <f t="array" ref="V56">IFERROR(INDEX(DFD!$F$2:$F$1048791,MATCH($Q56,DFD!$B$2:$B$1048791,0)),"")</f>
        <v/>
      </c>
      <c r="W56" s="97" t="str">
        <f t="array" ref="W56">IFERROR(INDEX(DFD!$E$2:$E$1048791,MATCH($Q56,DFD!$B$2:$B$1048791,0)),"")</f>
        <v/>
      </c>
      <c r="X56" s="97" t="str">
        <f t="array" ref="X56">IFERROR(INDEX(DFD!$K$2:$K$1048791,MATCH($Q56,DFD!$B$2:$B$1048791,0)),"")</f>
        <v/>
      </c>
      <c r="Y56" s="97" t="str">
        <f t="array" ref="Y56">IFERROR(INDEX(DFD!$L$2:$L$1048790,MATCH($Q56,DFD!$B$2:$B$1048790,0)),"")</f>
        <v/>
      </c>
      <c r="Z56" s="97">
        <f t="shared" si="1"/>
        <v>45</v>
      </c>
      <c r="AA56" s="87"/>
      <c r="AB56" s="87" t="s">
        <v>72</v>
      </c>
      <c r="AC56" s="87"/>
      <c r="AD56" s="99">
        <v>46043.0</v>
      </c>
      <c r="AE56" s="119">
        <f t="shared" si="2"/>
        <v>1</v>
      </c>
    </row>
    <row r="57" ht="15.75" customHeight="1">
      <c r="A57" s="67"/>
      <c r="B57" s="67" t="s">
        <v>87</v>
      </c>
      <c r="C57" s="81" t="s">
        <v>296</v>
      </c>
      <c r="D57" s="81" t="s">
        <v>51</v>
      </c>
      <c r="E57" s="81">
        <v>1.0</v>
      </c>
      <c r="F57" s="113">
        <v>2000.0</v>
      </c>
      <c r="G57" s="73" t="s">
        <v>53</v>
      </c>
      <c r="H57" s="83">
        <v>46174.0</v>
      </c>
      <c r="I57" s="67" t="s">
        <v>18</v>
      </c>
      <c r="J57" s="67" t="s">
        <v>54</v>
      </c>
      <c r="K57" s="67" t="s">
        <v>83</v>
      </c>
      <c r="L57" s="67" t="s">
        <v>56</v>
      </c>
      <c r="M57" s="67" t="s">
        <v>84</v>
      </c>
      <c r="N57" s="67" t="s">
        <v>20</v>
      </c>
      <c r="O57" s="59" t="s">
        <v>59</v>
      </c>
      <c r="P57" s="59"/>
      <c r="Q57" s="59" t="s">
        <v>293</v>
      </c>
      <c r="R57" s="67" t="s">
        <v>86</v>
      </c>
      <c r="S57" s="59"/>
      <c r="T57" s="59"/>
      <c r="U57" s="77" t="str">
        <f t="array" ref="U57">IFERROR(INDEX(DFD!$D$2:$D$1048791,MATCH($Q57,DFD!$B$2:$B$1048791,0)),"")</f>
        <v/>
      </c>
      <c r="V57" s="77" t="str">
        <f t="array" ref="V57">IFERROR(INDEX(DFD!$F$2:$F$1048791,MATCH($Q57,DFD!$B$2:$B$1048791,0)),"")</f>
        <v/>
      </c>
      <c r="W57" s="84" t="str">
        <f t="array" ref="W57">IFERROR(INDEX(DFD!$E$2:$E$1048791,MATCH($Q57,DFD!$B$2:$B$1048791,0)),"")</f>
        <v/>
      </c>
      <c r="X57" s="84" t="str">
        <f t="array" ref="X57">IFERROR(INDEX(DFD!$K$2:$K$1048791,MATCH($Q57,DFD!$B$2:$B$1048791,0)),"")</f>
        <v/>
      </c>
      <c r="Y57" s="84" t="str">
        <f t="array" ref="Y57">IFERROR(INDEX(DFD!$L$2:$L$1048790,MATCH($Q57,DFD!$B$2:$B$1048790,0)),"")</f>
        <v/>
      </c>
      <c r="Z57" s="84">
        <f t="shared" si="1"/>
        <v>45</v>
      </c>
      <c r="AA57" s="59"/>
      <c r="AB57" s="59" t="s">
        <v>72</v>
      </c>
      <c r="AC57" s="59"/>
      <c r="AD57" s="85">
        <v>46043.0</v>
      </c>
      <c r="AE57" s="114">
        <f t="shared" si="2"/>
        <v>1</v>
      </c>
    </row>
    <row r="58" ht="15.75" customHeight="1">
      <c r="A58" s="92"/>
      <c r="B58" s="92" t="s">
        <v>87</v>
      </c>
      <c r="C58" s="116" t="s">
        <v>298</v>
      </c>
      <c r="D58" s="116" t="s">
        <v>51</v>
      </c>
      <c r="E58" s="116">
        <v>1.0</v>
      </c>
      <c r="F58" s="117">
        <v>373.0</v>
      </c>
      <c r="G58" s="90" t="s">
        <v>53</v>
      </c>
      <c r="H58" s="118">
        <v>46174.0</v>
      </c>
      <c r="I58" s="92" t="s">
        <v>18</v>
      </c>
      <c r="J58" s="92" t="s">
        <v>54</v>
      </c>
      <c r="K58" s="92" t="s">
        <v>83</v>
      </c>
      <c r="L58" s="92" t="s">
        <v>56</v>
      </c>
      <c r="M58" s="92" t="s">
        <v>84</v>
      </c>
      <c r="N58" s="92" t="s">
        <v>20</v>
      </c>
      <c r="O58" s="87" t="s">
        <v>59</v>
      </c>
      <c r="P58" s="87"/>
      <c r="Q58" s="87" t="s">
        <v>293</v>
      </c>
      <c r="R58" s="92" t="s">
        <v>86</v>
      </c>
      <c r="S58" s="87"/>
      <c r="T58" s="87"/>
      <c r="U58" s="94" t="str">
        <f t="array" ref="U58">IFERROR(INDEX(DFD!$D$2:$D$1048791,MATCH($Q58,DFD!$B$2:$B$1048791,0)),"")</f>
        <v/>
      </c>
      <c r="V58" s="94" t="str">
        <f t="array" ref="V58">IFERROR(INDEX(DFD!$F$2:$F$1048791,MATCH($Q58,DFD!$B$2:$B$1048791,0)),"")</f>
        <v/>
      </c>
      <c r="W58" s="97" t="str">
        <f t="array" ref="W58">IFERROR(INDEX(DFD!$E$2:$E$1048791,MATCH($Q58,DFD!$B$2:$B$1048791,0)),"")</f>
        <v/>
      </c>
      <c r="X58" s="97" t="str">
        <f t="array" ref="X58">IFERROR(INDEX(DFD!$K$2:$K$1048791,MATCH($Q58,DFD!$B$2:$B$1048791,0)),"")</f>
        <v/>
      </c>
      <c r="Y58" s="97" t="str">
        <f t="array" ref="Y58">IFERROR(INDEX(DFD!$L$2:$L$1048790,MATCH($Q58,DFD!$B$2:$B$1048790,0)),"")</f>
        <v/>
      </c>
      <c r="Z58" s="97">
        <f t="shared" si="1"/>
        <v>45</v>
      </c>
      <c r="AA58" s="87"/>
      <c r="AB58" s="87" t="s">
        <v>72</v>
      </c>
      <c r="AC58" s="87"/>
      <c r="AD58" s="99">
        <v>46043.0</v>
      </c>
      <c r="AE58" s="119">
        <f t="shared" si="2"/>
        <v>1</v>
      </c>
    </row>
    <row r="59" ht="15.75" customHeight="1">
      <c r="A59" s="67"/>
      <c r="B59" s="104" t="s">
        <v>105</v>
      </c>
      <c r="C59" s="81" t="s">
        <v>301</v>
      </c>
      <c r="D59" s="81" t="s">
        <v>51</v>
      </c>
      <c r="E59" s="81">
        <v>1.0</v>
      </c>
      <c r="F59" s="113">
        <v>2400.0</v>
      </c>
      <c r="G59" s="73" t="s">
        <v>53</v>
      </c>
      <c r="H59" s="83">
        <v>46174.0</v>
      </c>
      <c r="I59" s="67" t="s">
        <v>18</v>
      </c>
      <c r="J59" s="67" t="s">
        <v>54</v>
      </c>
      <c r="K59" s="67" t="s">
        <v>83</v>
      </c>
      <c r="L59" s="67" t="s">
        <v>56</v>
      </c>
      <c r="M59" s="67" t="s">
        <v>84</v>
      </c>
      <c r="N59" s="67" t="s">
        <v>20</v>
      </c>
      <c r="O59" s="59" t="s">
        <v>59</v>
      </c>
      <c r="P59" s="59"/>
      <c r="Q59" s="59" t="s">
        <v>293</v>
      </c>
      <c r="R59" s="67" t="s">
        <v>302</v>
      </c>
      <c r="S59" s="59"/>
      <c r="T59" s="59"/>
      <c r="U59" s="77" t="str">
        <f t="array" ref="U59">IFERROR(INDEX(DFD!$D$2:$D$1048791,MATCH($Q59,DFD!$B$2:$B$1048791,0)),"")</f>
        <v/>
      </c>
      <c r="V59" s="77" t="str">
        <f t="array" ref="V59">IFERROR(INDEX(DFD!$F$2:$F$1048791,MATCH($Q59,DFD!$B$2:$B$1048791,0)),"")</f>
        <v/>
      </c>
      <c r="W59" s="84" t="str">
        <f t="array" ref="W59">IFERROR(INDEX(DFD!$E$2:$E$1048791,MATCH($Q59,DFD!$B$2:$B$1048791,0)),"")</f>
        <v/>
      </c>
      <c r="X59" s="84" t="str">
        <f t="array" ref="X59">IFERROR(INDEX(DFD!$K$2:$K$1048791,MATCH($Q59,DFD!$B$2:$B$1048791,0)),"")</f>
        <v/>
      </c>
      <c r="Y59" s="84" t="str">
        <f t="array" ref="Y59">IFERROR(INDEX(DFD!$L$2:$L$1048790,MATCH($Q59,DFD!$B$2:$B$1048790,0)),"")</f>
        <v/>
      </c>
      <c r="Z59" s="84">
        <f t="shared" si="1"/>
        <v>45</v>
      </c>
      <c r="AA59" s="59"/>
      <c r="AB59" s="59" t="s">
        <v>72</v>
      </c>
      <c r="AC59" s="59"/>
      <c r="AD59" s="85">
        <v>46043.0</v>
      </c>
      <c r="AE59" s="114">
        <f t="shared" si="2"/>
        <v>1</v>
      </c>
    </row>
    <row r="60" ht="15.75" customHeight="1">
      <c r="A60" s="92"/>
      <c r="B60" s="92" t="s">
        <v>64</v>
      </c>
      <c r="C60" s="116" t="s">
        <v>301</v>
      </c>
      <c r="D60" s="116" t="s">
        <v>51</v>
      </c>
      <c r="E60" s="116">
        <v>1.0</v>
      </c>
      <c r="F60" s="117">
        <v>2400.0</v>
      </c>
      <c r="G60" s="90" t="s">
        <v>53</v>
      </c>
      <c r="H60" s="118">
        <v>46174.0</v>
      </c>
      <c r="I60" s="92" t="s">
        <v>18</v>
      </c>
      <c r="J60" s="92" t="s">
        <v>54</v>
      </c>
      <c r="K60" s="92" t="s">
        <v>83</v>
      </c>
      <c r="L60" s="92" t="s">
        <v>56</v>
      </c>
      <c r="M60" s="92" t="s">
        <v>84</v>
      </c>
      <c r="N60" s="92" t="s">
        <v>20</v>
      </c>
      <c r="O60" s="87" t="s">
        <v>59</v>
      </c>
      <c r="P60" s="87"/>
      <c r="Q60" s="87" t="s">
        <v>293</v>
      </c>
      <c r="R60" s="92" t="s">
        <v>302</v>
      </c>
      <c r="S60" s="87"/>
      <c r="T60" s="87"/>
      <c r="U60" s="94" t="str">
        <f t="array" ref="U60">IFERROR(INDEX(DFD!$D$2:$D$1048791,MATCH($Q60,DFD!$B$2:$B$1048791,0)),"")</f>
        <v/>
      </c>
      <c r="V60" s="94" t="str">
        <f t="array" ref="V60">IFERROR(INDEX(DFD!$F$2:$F$1048791,MATCH($Q60,DFD!$B$2:$B$1048791,0)),"")</f>
        <v/>
      </c>
      <c r="W60" s="97" t="str">
        <f t="array" ref="W60">IFERROR(INDEX(DFD!$E$2:$E$1048791,MATCH($Q60,DFD!$B$2:$B$1048791,0)),"")</f>
        <v/>
      </c>
      <c r="X60" s="97" t="str">
        <f t="array" ref="X60">IFERROR(INDEX(DFD!$K$2:$K$1048791,MATCH($Q60,DFD!$B$2:$B$1048791,0)),"")</f>
        <v/>
      </c>
      <c r="Y60" s="97" t="str">
        <f t="array" ref="Y60">IFERROR(INDEX(DFD!$L$2:$L$1048790,MATCH($Q60,DFD!$B$2:$B$1048790,0)),"")</f>
        <v/>
      </c>
      <c r="Z60" s="97">
        <f t="shared" si="1"/>
        <v>45</v>
      </c>
      <c r="AA60" s="87"/>
      <c r="AB60" s="87" t="s">
        <v>72</v>
      </c>
      <c r="AC60" s="87"/>
      <c r="AD60" s="99">
        <v>46043.0</v>
      </c>
      <c r="AE60" s="119">
        <f t="shared" si="2"/>
        <v>1</v>
      </c>
    </row>
    <row r="61" ht="15.75" customHeight="1">
      <c r="A61" s="67"/>
      <c r="B61" s="67" t="s">
        <v>92</v>
      </c>
      <c r="C61" s="81" t="s">
        <v>305</v>
      </c>
      <c r="D61" s="81" t="s">
        <v>51</v>
      </c>
      <c r="E61" s="81">
        <v>1.0</v>
      </c>
      <c r="F61" s="113">
        <v>3800.0</v>
      </c>
      <c r="G61" s="73" t="s">
        <v>53</v>
      </c>
      <c r="H61" s="83">
        <v>46174.0</v>
      </c>
      <c r="I61" s="67" t="s">
        <v>18</v>
      </c>
      <c r="J61" s="67" t="s">
        <v>54</v>
      </c>
      <c r="K61" s="67" t="s">
        <v>83</v>
      </c>
      <c r="L61" s="67" t="s">
        <v>56</v>
      </c>
      <c r="M61" s="67" t="s">
        <v>84</v>
      </c>
      <c r="N61" s="67" t="s">
        <v>20</v>
      </c>
      <c r="O61" s="59" t="s">
        <v>59</v>
      </c>
      <c r="P61" s="59"/>
      <c r="Q61" s="59" t="s">
        <v>306</v>
      </c>
      <c r="R61" s="67" t="s">
        <v>86</v>
      </c>
      <c r="S61" s="59"/>
      <c r="T61" s="59"/>
      <c r="U61" s="77" t="str">
        <f t="array" ref="U61">IFERROR(INDEX(DFD!$D$2:$D$1048791,MATCH($Q61,DFD!$B$2:$B$1048791,0)),"")</f>
        <v/>
      </c>
      <c r="V61" s="77" t="str">
        <f t="array" ref="V61">IFERROR(INDEX(DFD!$F$2:$F$1048791,MATCH($Q61,DFD!$B$2:$B$1048791,0)),"")</f>
        <v/>
      </c>
      <c r="W61" s="84" t="str">
        <f t="array" ref="W61">IFERROR(INDEX(DFD!$E$2:$E$1048791,MATCH($Q61,DFD!$B$2:$B$1048791,0)),"")</f>
        <v/>
      </c>
      <c r="X61" s="84" t="str">
        <f t="array" ref="X61">IFERROR(INDEX(DFD!$K$2:$K$1048791,MATCH($Q61,DFD!$B$2:$B$1048791,0)),"")</f>
        <v/>
      </c>
      <c r="Y61" s="84" t="str">
        <f t="array" ref="Y61">IFERROR(INDEX(DFD!$L$2:$L$1048790,MATCH($Q61,DFD!$B$2:$B$1048790,0)),"")</f>
        <v/>
      </c>
      <c r="Z61" s="84">
        <f t="shared" si="1"/>
        <v>45</v>
      </c>
      <c r="AA61" s="59"/>
      <c r="AB61" s="59" t="s">
        <v>72</v>
      </c>
      <c r="AC61" s="59"/>
      <c r="AD61" s="85">
        <v>46043.0</v>
      </c>
      <c r="AE61" s="114">
        <f>SUBTOTAL(103, R60)</f>
        <v>1</v>
      </c>
    </row>
    <row r="62" ht="15.75" customHeight="1">
      <c r="A62" s="92"/>
      <c r="B62" s="92" t="s">
        <v>64</v>
      </c>
      <c r="C62" s="116" t="s">
        <v>309</v>
      </c>
      <c r="D62" s="116" t="s">
        <v>51</v>
      </c>
      <c r="E62" s="116">
        <v>4.0</v>
      </c>
      <c r="F62" s="117">
        <v>3200.0</v>
      </c>
      <c r="G62" s="90" t="s">
        <v>53</v>
      </c>
      <c r="H62" s="118">
        <v>46174.0</v>
      </c>
      <c r="I62" s="92" t="s">
        <v>18</v>
      </c>
      <c r="J62" s="92" t="s">
        <v>54</v>
      </c>
      <c r="K62" s="92" t="s">
        <v>83</v>
      </c>
      <c r="L62" s="92" t="s">
        <v>197</v>
      </c>
      <c r="M62" s="92" t="s">
        <v>84</v>
      </c>
      <c r="N62" s="92" t="s">
        <v>20</v>
      </c>
      <c r="O62" s="87" t="s">
        <v>59</v>
      </c>
      <c r="P62" s="87"/>
      <c r="Q62" s="87" t="s">
        <v>306</v>
      </c>
      <c r="R62" s="92" t="s">
        <v>86</v>
      </c>
      <c r="S62" s="87"/>
      <c r="T62" s="87"/>
      <c r="U62" s="94" t="str">
        <f t="array" ref="U62">IFERROR(INDEX(DFD!$D$2:$D$1048791,MATCH($Q62,DFD!$B$2:$B$1048791,0)),"")</f>
        <v/>
      </c>
      <c r="V62" s="94" t="str">
        <f t="array" ref="V62">IFERROR(INDEX(DFD!$F$2:$F$1048791,MATCH($Q62,DFD!$B$2:$B$1048791,0)),"")</f>
        <v/>
      </c>
      <c r="W62" s="97" t="str">
        <f t="array" ref="W62">IFERROR(INDEX(DFD!$E$2:$E$1048791,MATCH($Q62,DFD!$B$2:$B$1048791,0)),"")</f>
        <v/>
      </c>
      <c r="X62" s="97" t="str">
        <f t="array" ref="X62">IFERROR(INDEX(DFD!$K$2:$K$1048791,MATCH($Q62,DFD!$B$2:$B$1048791,0)),"")</f>
        <v/>
      </c>
      <c r="Y62" s="97" t="str">
        <f t="array" ref="Y62">IFERROR(INDEX(DFD!$L$2:$L$1048790,MATCH($Q62,DFD!$B$2:$B$1048790,0)),"")</f>
        <v/>
      </c>
      <c r="Z62" s="97">
        <f t="shared" si="1"/>
        <v>45</v>
      </c>
      <c r="AA62" s="87"/>
      <c r="AB62" s="87" t="s">
        <v>72</v>
      </c>
      <c r="AC62" s="87"/>
      <c r="AD62" s="99">
        <v>46043.0</v>
      </c>
      <c r="AE62" s="119">
        <f t="shared" ref="AE62:AE70" si="3">SUBTOTAL(103, R62)</f>
        <v>1</v>
      </c>
    </row>
    <row r="63" ht="15.75" customHeight="1">
      <c r="A63" s="67"/>
      <c r="B63" s="104" t="s">
        <v>87</v>
      </c>
      <c r="C63" s="81" t="s">
        <v>309</v>
      </c>
      <c r="D63" s="81" t="s">
        <v>51</v>
      </c>
      <c r="E63" s="81">
        <v>3.0</v>
      </c>
      <c r="F63" s="113">
        <v>2400.0</v>
      </c>
      <c r="G63" s="73" t="s">
        <v>53</v>
      </c>
      <c r="H63" s="83">
        <v>46174.0</v>
      </c>
      <c r="I63" s="67" t="s">
        <v>18</v>
      </c>
      <c r="J63" s="67" t="s">
        <v>54</v>
      </c>
      <c r="K63" s="67" t="s">
        <v>83</v>
      </c>
      <c r="L63" s="67" t="s">
        <v>197</v>
      </c>
      <c r="M63" s="67" t="s">
        <v>84</v>
      </c>
      <c r="N63" s="67" t="s">
        <v>20</v>
      </c>
      <c r="O63" s="59" t="s">
        <v>59</v>
      </c>
      <c r="P63" s="59"/>
      <c r="Q63" s="59" t="s">
        <v>306</v>
      </c>
      <c r="R63" s="67" t="s">
        <v>86</v>
      </c>
      <c r="S63" s="59"/>
      <c r="T63" s="59"/>
      <c r="U63" s="77" t="str">
        <f t="array" ref="U63">IFERROR(INDEX(DFD!$D$2:$D$1048791,MATCH($Q63,DFD!$B$2:$B$1048791,0)),"")</f>
        <v/>
      </c>
      <c r="V63" s="77" t="str">
        <f t="array" ref="V63">IFERROR(INDEX(DFD!$F$2:$F$1048791,MATCH($Q63,DFD!$B$2:$B$1048791,0)),"")</f>
        <v/>
      </c>
      <c r="W63" s="84" t="str">
        <f t="array" ref="W63">IFERROR(INDEX(DFD!$E$2:$E$1048791,MATCH($Q63,DFD!$B$2:$B$1048791,0)),"")</f>
        <v/>
      </c>
      <c r="X63" s="84" t="str">
        <f t="array" ref="X63">IFERROR(INDEX(DFD!$K$2:$K$1048791,MATCH($Q63,DFD!$B$2:$B$1048791,0)),"")</f>
        <v/>
      </c>
      <c r="Y63" s="84" t="str">
        <f t="array" ref="Y63">IFERROR(INDEX(DFD!$L$2:$L$1048790,MATCH($Q63,DFD!$B$2:$B$1048790,0)),"")</f>
        <v/>
      </c>
      <c r="Z63" s="84">
        <f t="shared" si="1"/>
        <v>45</v>
      </c>
      <c r="AA63" s="59"/>
      <c r="AB63" s="59" t="s">
        <v>72</v>
      </c>
      <c r="AC63" s="59"/>
      <c r="AD63" s="85">
        <v>46043.0</v>
      </c>
      <c r="AE63" s="114">
        <f t="shared" si="3"/>
        <v>1</v>
      </c>
    </row>
    <row r="64" ht="15.75" customHeight="1">
      <c r="A64" s="92"/>
      <c r="B64" s="92" t="s">
        <v>99</v>
      </c>
      <c r="C64" s="116" t="s">
        <v>313</v>
      </c>
      <c r="D64" s="116" t="s">
        <v>51</v>
      </c>
      <c r="E64" s="116">
        <v>1.0</v>
      </c>
      <c r="F64" s="117">
        <v>800.0</v>
      </c>
      <c r="G64" s="90" t="s">
        <v>53</v>
      </c>
      <c r="H64" s="118">
        <v>46174.0</v>
      </c>
      <c r="I64" s="92" t="s">
        <v>18</v>
      </c>
      <c r="J64" s="92" t="s">
        <v>54</v>
      </c>
      <c r="K64" s="92" t="s">
        <v>83</v>
      </c>
      <c r="L64" s="92" t="s">
        <v>197</v>
      </c>
      <c r="M64" s="92" t="s">
        <v>84</v>
      </c>
      <c r="N64" s="92" t="s">
        <v>20</v>
      </c>
      <c r="O64" s="87" t="s">
        <v>59</v>
      </c>
      <c r="P64" s="87"/>
      <c r="Q64" s="87" t="s">
        <v>306</v>
      </c>
      <c r="R64" s="92" t="s">
        <v>86</v>
      </c>
      <c r="S64" s="87"/>
      <c r="T64" s="87"/>
      <c r="U64" s="94" t="str">
        <f t="array" ref="U64">IFERROR(INDEX(DFD!$D$2:$D$1048791,MATCH($Q64,DFD!$B$2:$B$1048791,0)),"")</f>
        <v/>
      </c>
      <c r="V64" s="94" t="str">
        <f t="array" ref="V64">IFERROR(INDEX(DFD!$F$2:$F$1048791,MATCH($Q64,DFD!$B$2:$B$1048791,0)),"")</f>
        <v/>
      </c>
      <c r="W64" s="97" t="str">
        <f t="array" ref="W64">IFERROR(INDEX(DFD!$E$2:$E$1048791,MATCH($Q64,DFD!$B$2:$B$1048791,0)),"")</f>
        <v/>
      </c>
      <c r="X64" s="97" t="str">
        <f t="array" ref="X64">IFERROR(INDEX(DFD!$K$2:$K$1048791,MATCH($Q64,DFD!$B$2:$B$1048791,0)),"")</f>
        <v/>
      </c>
      <c r="Y64" s="97" t="str">
        <f t="array" ref="Y64">IFERROR(INDEX(DFD!$L$2:$L$1048790,MATCH($Q64,DFD!$B$2:$B$1048790,0)),"")</f>
        <v/>
      </c>
      <c r="Z64" s="97">
        <f t="shared" si="1"/>
        <v>45</v>
      </c>
      <c r="AA64" s="87"/>
      <c r="AB64" s="87" t="s">
        <v>72</v>
      </c>
      <c r="AC64" s="87"/>
      <c r="AD64" s="99">
        <v>46043.0</v>
      </c>
      <c r="AE64" s="119">
        <f t="shared" si="3"/>
        <v>1</v>
      </c>
    </row>
    <row r="65" ht="15.75" customHeight="1">
      <c r="A65" s="67"/>
      <c r="B65" s="67" t="s">
        <v>230</v>
      </c>
      <c r="C65" s="81" t="s">
        <v>313</v>
      </c>
      <c r="D65" s="81" t="s">
        <v>51</v>
      </c>
      <c r="E65" s="81">
        <v>1.0</v>
      </c>
      <c r="F65" s="113">
        <v>800.0</v>
      </c>
      <c r="G65" s="73" t="s">
        <v>53</v>
      </c>
      <c r="H65" s="83">
        <v>46174.0</v>
      </c>
      <c r="I65" s="67" t="s">
        <v>18</v>
      </c>
      <c r="J65" s="67" t="s">
        <v>54</v>
      </c>
      <c r="K65" s="67" t="s">
        <v>83</v>
      </c>
      <c r="L65" s="67" t="s">
        <v>197</v>
      </c>
      <c r="M65" s="67" t="s">
        <v>84</v>
      </c>
      <c r="N65" s="67" t="s">
        <v>20</v>
      </c>
      <c r="O65" s="59" t="s">
        <v>59</v>
      </c>
      <c r="P65" s="59"/>
      <c r="Q65" s="59" t="s">
        <v>306</v>
      </c>
      <c r="R65" s="67" t="s">
        <v>86</v>
      </c>
      <c r="S65" s="59"/>
      <c r="T65" s="59"/>
      <c r="U65" s="77" t="str">
        <f t="array" ref="U65">IFERROR(INDEX(DFD!$D$2:$D$1048791,MATCH($Q65,DFD!$B$2:$B$1048791,0)),"")</f>
        <v/>
      </c>
      <c r="V65" s="77" t="str">
        <f t="array" ref="V65">IFERROR(INDEX(DFD!$F$2:$F$1048791,MATCH($Q65,DFD!$B$2:$B$1048791,0)),"")</f>
        <v/>
      </c>
      <c r="W65" s="84" t="str">
        <f t="array" ref="W65">IFERROR(INDEX(DFD!$E$2:$E$1048791,MATCH($Q65,DFD!$B$2:$B$1048791,0)),"")</f>
        <v/>
      </c>
      <c r="X65" s="84" t="str">
        <f t="array" ref="X65">IFERROR(INDEX(DFD!$K$2:$K$1048791,MATCH($Q65,DFD!$B$2:$B$1048791,0)),"")</f>
        <v/>
      </c>
      <c r="Y65" s="84" t="str">
        <f t="array" ref="Y65">IFERROR(INDEX(DFD!$L$2:$L$1048790,MATCH($Q65,DFD!$B$2:$B$1048790,0)),"")</f>
        <v/>
      </c>
      <c r="Z65" s="84">
        <f t="shared" si="1"/>
        <v>45</v>
      </c>
      <c r="AA65" s="59"/>
      <c r="AB65" s="59" t="s">
        <v>72</v>
      </c>
      <c r="AC65" s="59"/>
      <c r="AD65" s="85">
        <v>46043.0</v>
      </c>
      <c r="AE65" s="114">
        <f t="shared" si="3"/>
        <v>1</v>
      </c>
    </row>
    <row r="66" ht="15.75" customHeight="1">
      <c r="A66" s="92"/>
      <c r="B66" s="92" t="s">
        <v>155</v>
      </c>
      <c r="C66" s="116" t="s">
        <v>317</v>
      </c>
      <c r="D66" s="116" t="s">
        <v>51</v>
      </c>
      <c r="E66" s="116">
        <v>1.0</v>
      </c>
      <c r="F66" s="117">
        <v>3000.0</v>
      </c>
      <c r="G66" s="90" t="s">
        <v>53</v>
      </c>
      <c r="H66" s="118">
        <v>46174.0</v>
      </c>
      <c r="I66" s="92" t="s">
        <v>18</v>
      </c>
      <c r="J66" s="92" t="s">
        <v>54</v>
      </c>
      <c r="K66" s="92" t="s">
        <v>83</v>
      </c>
      <c r="L66" s="92" t="s">
        <v>197</v>
      </c>
      <c r="M66" s="92" t="s">
        <v>84</v>
      </c>
      <c r="N66" s="92" t="s">
        <v>20</v>
      </c>
      <c r="O66" s="87" t="s">
        <v>59</v>
      </c>
      <c r="P66" s="87"/>
      <c r="Q66" s="87" t="s">
        <v>306</v>
      </c>
      <c r="R66" s="92" t="s">
        <v>86</v>
      </c>
      <c r="S66" s="87"/>
      <c r="T66" s="87"/>
      <c r="U66" s="94" t="str">
        <f t="array" ref="U66">IFERROR(INDEX(DFD!$D$2:$D$1048791,MATCH($Q66,DFD!$B$2:$B$1048791,0)),"")</f>
        <v/>
      </c>
      <c r="V66" s="94" t="str">
        <f t="array" ref="V66">IFERROR(INDEX(DFD!$F$2:$F$1048791,MATCH($Q66,DFD!$B$2:$B$1048791,0)),"")</f>
        <v/>
      </c>
      <c r="W66" s="97" t="str">
        <f t="array" ref="W66">IFERROR(INDEX(DFD!$E$2:$E$1048791,MATCH($Q66,DFD!$B$2:$B$1048791,0)),"")</f>
        <v/>
      </c>
      <c r="X66" s="97" t="str">
        <f t="array" ref="X66">IFERROR(INDEX(DFD!$K$2:$K$1048791,MATCH($Q66,DFD!$B$2:$B$1048791,0)),"")</f>
        <v/>
      </c>
      <c r="Y66" s="97" t="str">
        <f t="array" ref="Y66">IFERROR(INDEX(DFD!$L$2:$L$1048790,MATCH($Q66,DFD!$B$2:$B$1048790,0)),"")</f>
        <v/>
      </c>
      <c r="Z66" s="97">
        <f t="shared" si="1"/>
        <v>45</v>
      </c>
      <c r="AA66" s="87"/>
      <c r="AB66" s="87" t="s">
        <v>72</v>
      </c>
      <c r="AC66" s="87"/>
      <c r="AD66" s="99">
        <v>46043.0</v>
      </c>
      <c r="AE66" s="119">
        <f t="shared" si="3"/>
        <v>1</v>
      </c>
    </row>
    <row r="67" ht="15.75" customHeight="1">
      <c r="A67" s="67"/>
      <c r="B67" s="67" t="s">
        <v>105</v>
      </c>
      <c r="C67" s="81" t="s">
        <v>319</v>
      </c>
      <c r="D67" s="81" t="s">
        <v>51</v>
      </c>
      <c r="E67" s="81">
        <v>6.0</v>
      </c>
      <c r="F67" s="113">
        <v>2700.0</v>
      </c>
      <c r="G67" s="73" t="s">
        <v>53</v>
      </c>
      <c r="H67" s="83">
        <v>46174.0</v>
      </c>
      <c r="I67" s="67" t="s">
        <v>18</v>
      </c>
      <c r="J67" s="67" t="s">
        <v>54</v>
      </c>
      <c r="K67" s="67" t="s">
        <v>83</v>
      </c>
      <c r="L67" s="67" t="s">
        <v>197</v>
      </c>
      <c r="M67" s="67" t="s">
        <v>84</v>
      </c>
      <c r="N67" s="67" t="s">
        <v>20</v>
      </c>
      <c r="O67" s="59" t="s">
        <v>59</v>
      </c>
      <c r="P67" s="59"/>
      <c r="Q67" s="59" t="s">
        <v>306</v>
      </c>
      <c r="R67" s="67" t="s">
        <v>86</v>
      </c>
      <c r="S67" s="59"/>
      <c r="T67" s="59"/>
      <c r="U67" s="77" t="str">
        <f t="array" ref="U67">IFERROR(INDEX(DFD!$D$2:$D$1048791,MATCH($Q67,DFD!$B$2:$B$1048791,0)),"")</f>
        <v/>
      </c>
      <c r="V67" s="77" t="str">
        <f t="array" ref="V67">IFERROR(INDEX(DFD!$F$2:$F$1048791,MATCH($Q67,DFD!$B$2:$B$1048791,0)),"")</f>
        <v/>
      </c>
      <c r="W67" s="84" t="str">
        <f t="array" ref="W67">IFERROR(INDEX(DFD!$E$2:$E$1048791,MATCH($Q67,DFD!$B$2:$B$1048791,0)),"")</f>
        <v/>
      </c>
      <c r="X67" s="84" t="str">
        <f t="array" ref="X67">IFERROR(INDEX(DFD!$K$2:$K$1048791,MATCH($Q67,DFD!$B$2:$B$1048791,0)),"")</f>
        <v/>
      </c>
      <c r="Y67" s="84" t="str">
        <f t="array" ref="Y67">IFERROR(INDEX(DFD!$L$2:$L$1048790,MATCH($Q67,DFD!$B$2:$B$1048790,0)),"")</f>
        <v/>
      </c>
      <c r="Z67" s="84">
        <f t="shared" si="1"/>
        <v>45</v>
      </c>
      <c r="AA67" s="59"/>
      <c r="AB67" s="59" t="s">
        <v>72</v>
      </c>
      <c r="AC67" s="59"/>
      <c r="AD67" s="85">
        <v>46043.0</v>
      </c>
      <c r="AE67" s="114">
        <f t="shared" si="3"/>
        <v>1</v>
      </c>
    </row>
    <row r="68" ht="15.75" customHeight="1">
      <c r="A68" s="92"/>
      <c r="B68" s="92" t="s">
        <v>162</v>
      </c>
      <c r="C68" s="116" t="s">
        <v>322</v>
      </c>
      <c r="D68" s="116" t="s">
        <v>51</v>
      </c>
      <c r="E68" s="116">
        <v>2.0</v>
      </c>
      <c r="F68" s="117">
        <v>11000.0</v>
      </c>
      <c r="G68" s="90" t="s">
        <v>53</v>
      </c>
      <c r="H68" s="118">
        <v>46235.0</v>
      </c>
      <c r="I68" s="92" t="s">
        <v>18</v>
      </c>
      <c r="J68" s="92" t="s">
        <v>54</v>
      </c>
      <c r="K68" s="92" t="s">
        <v>83</v>
      </c>
      <c r="L68" s="92" t="s">
        <v>197</v>
      </c>
      <c r="M68" s="92" t="s">
        <v>84</v>
      </c>
      <c r="N68" s="92" t="s">
        <v>20</v>
      </c>
      <c r="O68" s="87" t="s">
        <v>59</v>
      </c>
      <c r="P68" s="87"/>
      <c r="Q68" s="87" t="s">
        <v>306</v>
      </c>
      <c r="R68" s="92" t="s">
        <v>323</v>
      </c>
      <c r="S68" s="87"/>
      <c r="T68" s="87"/>
      <c r="U68" s="94" t="str">
        <f t="array" ref="U68">IFERROR(INDEX(DFD!$D$2:$D$1048791,MATCH($Q68,DFD!$B$2:$B$1048791,0)),"")</f>
        <v/>
      </c>
      <c r="V68" s="94" t="str">
        <f t="array" ref="V68">IFERROR(INDEX(DFD!$F$2:$F$1048791,MATCH($Q68,DFD!$B$2:$B$1048791,0)),"")</f>
        <v/>
      </c>
      <c r="W68" s="97" t="str">
        <f t="array" ref="W68">IFERROR(INDEX(DFD!$E$2:$E$1048791,MATCH($Q68,DFD!$B$2:$B$1048791,0)),"")</f>
        <v/>
      </c>
      <c r="X68" s="97" t="str">
        <f t="array" ref="X68">IFERROR(INDEX(DFD!$K$2:$K$1048791,MATCH($Q68,DFD!$B$2:$B$1048791,0)),"")</f>
        <v/>
      </c>
      <c r="Y68" s="97" t="str">
        <f t="array" ref="Y68">IFERROR(INDEX(DFD!$L$2:$L$1048790,MATCH($Q68,DFD!$B$2:$B$1048790,0)),"")</f>
        <v/>
      </c>
      <c r="Z68" s="97">
        <f t="shared" si="1"/>
        <v>45</v>
      </c>
      <c r="AA68" s="87"/>
      <c r="AB68" s="87" t="s">
        <v>72</v>
      </c>
      <c r="AC68" s="87"/>
      <c r="AD68" s="99">
        <v>46043.0</v>
      </c>
      <c r="AE68" s="119">
        <f t="shared" si="3"/>
        <v>1</v>
      </c>
    </row>
    <row r="69" ht="15.75" customHeight="1">
      <c r="A69" s="67"/>
      <c r="B69" s="67" t="s">
        <v>49</v>
      </c>
      <c r="C69" s="81" t="s">
        <v>327</v>
      </c>
      <c r="D69" s="81" t="s">
        <v>51</v>
      </c>
      <c r="E69" s="81">
        <v>1.0</v>
      </c>
      <c r="F69" s="82">
        <v>9000000.0</v>
      </c>
      <c r="G69" s="73" t="s">
        <v>53</v>
      </c>
      <c r="H69" s="83">
        <v>46266.0</v>
      </c>
      <c r="I69" s="67" t="s">
        <v>18</v>
      </c>
      <c r="J69" s="67" t="s">
        <v>54</v>
      </c>
      <c r="K69" s="67" t="s">
        <v>83</v>
      </c>
      <c r="L69" s="67" t="s">
        <v>56</v>
      </c>
      <c r="M69" s="67" t="s">
        <v>84</v>
      </c>
      <c r="N69" s="67" t="s">
        <v>20</v>
      </c>
      <c r="O69" s="59" t="s">
        <v>59</v>
      </c>
      <c r="P69" s="59"/>
      <c r="Q69" s="59"/>
      <c r="R69" s="67" t="s">
        <v>330</v>
      </c>
      <c r="S69" s="59"/>
      <c r="T69" s="59"/>
      <c r="U69" s="77"/>
      <c r="V69" s="77" t="s">
        <v>62</v>
      </c>
      <c r="W69" s="84" t="str">
        <f t="array" ref="W69">IFERROR(INDEX(DFD!$E$2:$E$1048791,MATCH($Q69,DFD!$B$2:$B$1048791,0)),"")</f>
        <v/>
      </c>
      <c r="X69" s="84" t="str">
        <f t="array" ref="X69">IFERROR(INDEX(DFD!$K$2:$K$1048791,MATCH($Q69,DFD!$B$2:$B$1048791,0)),"")</f>
        <v/>
      </c>
      <c r="Y69" s="84" t="str">
        <f t="array" ref="Y69">IFERROR(INDEX(DFD!$L$2:$L$1048790,MATCH($Q69,DFD!$B$2:$B$1048790,0)),"")</f>
        <v/>
      </c>
      <c r="Z69" s="84">
        <f t="shared" si="1"/>
        <v>45</v>
      </c>
      <c r="AA69" s="59"/>
      <c r="AB69" s="59" t="s">
        <v>72</v>
      </c>
      <c r="AC69" s="59"/>
      <c r="AD69" s="85">
        <v>46043.0</v>
      </c>
      <c r="AE69" s="114">
        <f t="shared" si="3"/>
        <v>1</v>
      </c>
    </row>
    <row r="70" ht="51.75" customHeight="1">
      <c r="A70" s="92"/>
      <c r="B70" s="92" t="s">
        <v>49</v>
      </c>
      <c r="C70" s="116" t="s">
        <v>332</v>
      </c>
      <c r="D70" s="116" t="s">
        <v>51</v>
      </c>
      <c r="E70" s="116">
        <v>1.0</v>
      </c>
      <c r="F70" s="82">
        <v>630000.0</v>
      </c>
      <c r="G70" s="90" t="s">
        <v>53</v>
      </c>
      <c r="H70" s="118">
        <v>46266.0</v>
      </c>
      <c r="I70" s="92" t="s">
        <v>18</v>
      </c>
      <c r="J70" s="92" t="s">
        <v>54</v>
      </c>
      <c r="K70" s="92" t="s">
        <v>83</v>
      </c>
      <c r="L70" s="92" t="s">
        <v>197</v>
      </c>
      <c r="M70" s="92" t="s">
        <v>84</v>
      </c>
      <c r="N70" s="92" t="s">
        <v>20</v>
      </c>
      <c r="O70" s="87" t="s">
        <v>59</v>
      </c>
      <c r="P70" s="87"/>
      <c r="Q70" s="87"/>
      <c r="R70" s="92" t="s">
        <v>330</v>
      </c>
      <c r="S70" s="87"/>
      <c r="T70" s="87"/>
      <c r="U70" s="94"/>
      <c r="V70" s="94" t="s">
        <v>62</v>
      </c>
      <c r="W70" s="97" t="str">
        <f t="array" ref="W70">IFERROR(INDEX(DFD!$E$2:$E$1048791,MATCH($Q70,DFD!$B$2:$B$1048791,0)),"")</f>
        <v/>
      </c>
      <c r="X70" s="97" t="str">
        <f t="array" ref="X70">IFERROR(INDEX(DFD!$K$2:$K$1048791,MATCH($Q70,DFD!$B$2:$B$1048791,0)),"")</f>
        <v/>
      </c>
      <c r="Y70" s="97" t="str">
        <f t="array" ref="Y70">IFERROR(INDEX(DFD!$L$2:$L$1048790,MATCH($Q70,DFD!$B$2:$B$1048790,0)),"")</f>
        <v/>
      </c>
      <c r="Z70" s="97">
        <f t="shared" si="1"/>
        <v>45</v>
      </c>
      <c r="AA70" s="87"/>
      <c r="AB70" s="87" t="s">
        <v>72</v>
      </c>
      <c r="AC70" s="87"/>
      <c r="AD70" s="99">
        <v>46043.0</v>
      </c>
      <c r="AE70" s="119">
        <f t="shared" si="3"/>
        <v>1</v>
      </c>
    </row>
    <row r="71" ht="51.75" customHeight="1">
      <c r="A71" s="59"/>
      <c r="B71" s="59" t="s">
        <v>73</v>
      </c>
      <c r="C71" s="60" t="s">
        <v>335</v>
      </c>
      <c r="D71" s="60" t="s">
        <v>51</v>
      </c>
      <c r="E71" s="60">
        <v>25.0</v>
      </c>
      <c r="F71" s="138">
        <v>70000.0</v>
      </c>
      <c r="G71" s="73" t="s">
        <v>53</v>
      </c>
      <c r="H71" s="83">
        <v>46267.0</v>
      </c>
      <c r="I71" s="67" t="s">
        <v>18</v>
      </c>
      <c r="J71" s="67" t="s">
        <v>54</v>
      </c>
      <c r="K71" s="67" t="s">
        <v>83</v>
      </c>
      <c r="L71" s="67" t="s">
        <v>56</v>
      </c>
      <c r="M71" s="67" t="s">
        <v>84</v>
      </c>
      <c r="N71" s="67" t="s">
        <v>20</v>
      </c>
      <c r="O71" s="59"/>
      <c r="P71" s="59"/>
      <c r="Q71" s="59" t="s">
        <v>336</v>
      </c>
      <c r="R71" s="67" t="s">
        <v>71</v>
      </c>
      <c r="S71" s="59"/>
      <c r="T71" s="59"/>
      <c r="U71" s="77" t="s">
        <v>337</v>
      </c>
      <c r="V71" s="77" t="s">
        <v>73</v>
      </c>
      <c r="W71" s="84"/>
      <c r="X71" s="84"/>
      <c r="Y71" s="84"/>
      <c r="Z71" s="84"/>
      <c r="AA71" s="59"/>
      <c r="AB71" s="59" t="s">
        <v>72</v>
      </c>
      <c r="AC71" s="59"/>
      <c r="AD71" s="85"/>
      <c r="AE71" s="114"/>
    </row>
    <row r="72" ht="51.75" customHeight="1">
      <c r="A72" s="87"/>
      <c r="B72" s="87" t="s">
        <v>73</v>
      </c>
      <c r="C72" s="88" t="s">
        <v>338</v>
      </c>
      <c r="D72" s="88" t="s">
        <v>51</v>
      </c>
      <c r="E72" s="88">
        <v>3.0</v>
      </c>
      <c r="F72" s="139">
        <v>210000.0</v>
      </c>
      <c r="G72" s="90" t="s">
        <v>53</v>
      </c>
      <c r="H72" s="118">
        <v>46268.0</v>
      </c>
      <c r="I72" s="92" t="s">
        <v>18</v>
      </c>
      <c r="J72" s="92" t="s">
        <v>54</v>
      </c>
      <c r="K72" s="92" t="s">
        <v>83</v>
      </c>
      <c r="L72" s="92" t="s">
        <v>56</v>
      </c>
      <c r="M72" s="92" t="s">
        <v>84</v>
      </c>
      <c r="N72" s="92" t="s">
        <v>20</v>
      </c>
      <c r="O72" s="87"/>
      <c r="P72" s="87"/>
      <c r="Q72" s="87" t="s">
        <v>336</v>
      </c>
      <c r="R72" s="92" t="s">
        <v>71</v>
      </c>
      <c r="S72" s="87"/>
      <c r="T72" s="87"/>
      <c r="U72" s="94" t="s">
        <v>337</v>
      </c>
      <c r="V72" s="94" t="s">
        <v>73</v>
      </c>
      <c r="W72" s="97"/>
      <c r="X72" s="97"/>
      <c r="Y72" s="97"/>
      <c r="Z72" s="97"/>
      <c r="AA72" s="87"/>
      <c r="AB72" s="87" t="s">
        <v>72</v>
      </c>
      <c r="AC72" s="87"/>
      <c r="AD72" s="99"/>
      <c r="AE72" s="119"/>
    </row>
    <row r="73" ht="51.75" customHeight="1">
      <c r="A73" s="59"/>
      <c r="B73" s="59" t="s">
        <v>73</v>
      </c>
      <c r="C73" s="60" t="s">
        <v>341</v>
      </c>
      <c r="D73" s="60" t="s">
        <v>51</v>
      </c>
      <c r="E73" s="60">
        <v>4.0</v>
      </c>
      <c r="F73" s="138">
        <v>68000.0</v>
      </c>
      <c r="G73" s="73" t="s">
        <v>53</v>
      </c>
      <c r="H73" s="83">
        <v>46269.0</v>
      </c>
      <c r="I73" s="67" t="s">
        <v>18</v>
      </c>
      <c r="J73" s="67" t="s">
        <v>54</v>
      </c>
      <c r="K73" s="67" t="s">
        <v>83</v>
      </c>
      <c r="L73" s="67" t="s">
        <v>56</v>
      </c>
      <c r="M73" s="67" t="s">
        <v>84</v>
      </c>
      <c r="N73" s="67" t="s">
        <v>20</v>
      </c>
      <c r="O73" s="59"/>
      <c r="P73" s="59"/>
      <c r="Q73" s="59" t="s">
        <v>336</v>
      </c>
      <c r="R73" s="67" t="s">
        <v>71</v>
      </c>
      <c r="S73" s="59"/>
      <c r="T73" s="59"/>
      <c r="U73" s="77" t="s">
        <v>337</v>
      </c>
      <c r="V73" s="77" t="s">
        <v>73</v>
      </c>
      <c r="W73" s="84"/>
      <c r="X73" s="84"/>
      <c r="Y73" s="84"/>
      <c r="Z73" s="84"/>
      <c r="AA73" s="59"/>
      <c r="AB73" s="59" t="s">
        <v>72</v>
      </c>
      <c r="AC73" s="59"/>
      <c r="AD73" s="85"/>
      <c r="AE73" s="114"/>
    </row>
    <row r="74" ht="51.75" customHeight="1">
      <c r="A74" s="87"/>
      <c r="B74" s="87" t="s">
        <v>73</v>
      </c>
      <c r="C74" s="88" t="s">
        <v>343</v>
      </c>
      <c r="D74" s="88" t="s">
        <v>51</v>
      </c>
      <c r="E74" s="88">
        <v>15.0</v>
      </c>
      <c r="F74" s="139">
        <v>42000.0</v>
      </c>
      <c r="G74" s="90" t="s">
        <v>53</v>
      </c>
      <c r="H74" s="118">
        <v>46270.0</v>
      </c>
      <c r="I74" s="92" t="s">
        <v>18</v>
      </c>
      <c r="J74" s="92" t="s">
        <v>54</v>
      </c>
      <c r="K74" s="92" t="s">
        <v>83</v>
      </c>
      <c r="L74" s="92" t="s">
        <v>56</v>
      </c>
      <c r="M74" s="92" t="s">
        <v>84</v>
      </c>
      <c r="N74" s="92" t="s">
        <v>20</v>
      </c>
      <c r="O74" s="87"/>
      <c r="P74" s="87"/>
      <c r="Q74" s="87" t="s">
        <v>336</v>
      </c>
      <c r="R74" s="92" t="s">
        <v>71</v>
      </c>
      <c r="S74" s="87"/>
      <c r="T74" s="87"/>
      <c r="U74" s="94" t="s">
        <v>337</v>
      </c>
      <c r="V74" s="94" t="s">
        <v>73</v>
      </c>
      <c r="W74" s="97"/>
      <c r="X74" s="97"/>
      <c r="Y74" s="97"/>
      <c r="Z74" s="97"/>
      <c r="AA74" s="87"/>
      <c r="AB74" s="87" t="s">
        <v>72</v>
      </c>
      <c r="AC74" s="87"/>
      <c r="AD74" s="99"/>
      <c r="AE74" s="119"/>
    </row>
    <row r="75" ht="51.75" customHeight="1">
      <c r="A75" s="67"/>
      <c r="B75" s="67" t="s">
        <v>49</v>
      </c>
      <c r="C75" s="81" t="s">
        <v>344</v>
      </c>
      <c r="D75" s="81" t="s">
        <v>51</v>
      </c>
      <c r="E75" s="81">
        <v>1.0</v>
      </c>
      <c r="F75" s="113">
        <v>25000.0</v>
      </c>
      <c r="G75" s="73" t="s">
        <v>53</v>
      </c>
      <c r="H75" s="83">
        <v>46235.0</v>
      </c>
      <c r="I75" s="67" t="s">
        <v>18</v>
      </c>
      <c r="J75" s="67" t="s">
        <v>54</v>
      </c>
      <c r="K75" s="67" t="s">
        <v>83</v>
      </c>
      <c r="L75" s="67" t="s">
        <v>56</v>
      </c>
      <c r="M75" s="67" t="s">
        <v>84</v>
      </c>
      <c r="N75" s="67" t="s">
        <v>20</v>
      </c>
      <c r="O75" s="59" t="s">
        <v>59</v>
      </c>
      <c r="P75" s="59"/>
      <c r="Q75" s="59"/>
      <c r="R75" s="67" t="s">
        <v>330</v>
      </c>
      <c r="S75" s="59"/>
      <c r="T75" s="59"/>
      <c r="U75" s="77"/>
      <c r="V75" s="77" t="s">
        <v>62</v>
      </c>
      <c r="W75" s="84" t="str">
        <f t="array" ref="W75">IFERROR(INDEX(DFD!$E$2:$E$1048791,MATCH($Q75,DFD!$B$2:$B$1048791,0)),"")</f>
        <v/>
      </c>
      <c r="X75" s="84" t="str">
        <f t="array" ref="X75">IFERROR(INDEX(DFD!$K$2:$K$1048791,MATCH($Q75,DFD!$B$2:$B$1048791,0)),"")</f>
        <v/>
      </c>
      <c r="Y75" s="84" t="str">
        <f t="array" ref="Y75">IFERROR(INDEX(DFD!$L$2:$L$1048790,MATCH($Q75,DFD!$B$2:$B$1048790,0)),"")</f>
        <v/>
      </c>
      <c r="Z75" s="84">
        <f t="shared" ref="Z75:Z298" si="4">Y75+45</f>
        <v>45</v>
      </c>
      <c r="AA75" s="59"/>
      <c r="AB75" s="59" t="s">
        <v>72</v>
      </c>
      <c r="AC75" s="59"/>
      <c r="AD75" s="85">
        <v>46043.0</v>
      </c>
      <c r="AE75" s="114">
        <f t="shared" ref="AE75:AE298" si="5">SUBTOTAL(103, R75)</f>
        <v>1</v>
      </c>
    </row>
    <row r="76" ht="51.75" customHeight="1">
      <c r="A76" s="92"/>
      <c r="B76" s="104" t="s">
        <v>172</v>
      </c>
      <c r="C76" s="116" t="s">
        <v>347</v>
      </c>
      <c r="D76" s="116" t="s">
        <v>51</v>
      </c>
      <c r="E76" s="116">
        <v>2.0</v>
      </c>
      <c r="F76" s="117">
        <v>18000.0</v>
      </c>
      <c r="G76" s="90" t="s">
        <v>53</v>
      </c>
      <c r="H76" s="118">
        <v>46235.0</v>
      </c>
      <c r="I76" s="92" t="s">
        <v>18</v>
      </c>
      <c r="J76" s="92" t="s">
        <v>54</v>
      </c>
      <c r="K76" s="92" t="s">
        <v>83</v>
      </c>
      <c r="L76" s="92" t="s">
        <v>56</v>
      </c>
      <c r="M76" s="92" t="s">
        <v>84</v>
      </c>
      <c r="N76" s="92" t="s">
        <v>20</v>
      </c>
      <c r="O76" s="87" t="s">
        <v>59</v>
      </c>
      <c r="P76" s="87"/>
      <c r="Q76" s="87" t="s">
        <v>348</v>
      </c>
      <c r="R76" s="92" t="s">
        <v>330</v>
      </c>
      <c r="S76" s="87"/>
      <c r="T76" s="87"/>
      <c r="U76" s="94" t="str">
        <f t="array" ref="U76">IFERROR(INDEX(DFD!$D$2:$D$1048791,MATCH($Q76,DFD!$B$2:$B$1048791,0)),"")</f>
        <v/>
      </c>
      <c r="V76" s="94" t="str">
        <f t="array" ref="V76">IFERROR(INDEX(DFD!$F$2:$F$1048791,MATCH($Q76,DFD!$B$2:$B$1048791,0)),"")</f>
        <v/>
      </c>
      <c r="W76" s="97" t="str">
        <f t="array" ref="W76">IFERROR(INDEX(DFD!$E$2:$E$1048791,MATCH($Q76,DFD!$B$2:$B$1048791,0)),"")</f>
        <v/>
      </c>
      <c r="X76" s="97" t="str">
        <f t="array" ref="X76">IFERROR(INDEX(DFD!$K$2:$K$1048791,MATCH($Q76,DFD!$B$2:$B$1048791,0)),"")</f>
        <v/>
      </c>
      <c r="Y76" s="97" t="str">
        <f t="array" ref="Y76">IFERROR(INDEX(DFD!$L$2:$L$1048790,MATCH($Q76,DFD!$B$2:$B$1048790,0)),"")</f>
        <v/>
      </c>
      <c r="Z76" s="97">
        <f t="shared" si="4"/>
        <v>45</v>
      </c>
      <c r="AA76" s="87"/>
      <c r="AB76" s="87" t="s">
        <v>72</v>
      </c>
      <c r="AC76" s="87"/>
      <c r="AD76" s="99">
        <v>46043.0</v>
      </c>
      <c r="AE76" s="119">
        <f t="shared" si="5"/>
        <v>1</v>
      </c>
    </row>
    <row r="77" ht="15.75" customHeight="1">
      <c r="A77" s="67"/>
      <c r="B77" s="67" t="s">
        <v>171</v>
      </c>
      <c r="C77" s="81" t="s">
        <v>347</v>
      </c>
      <c r="D77" s="81" t="s">
        <v>51</v>
      </c>
      <c r="E77" s="81">
        <v>1.0</v>
      </c>
      <c r="F77" s="113">
        <v>9000.0</v>
      </c>
      <c r="G77" s="73" t="s">
        <v>53</v>
      </c>
      <c r="H77" s="83">
        <v>46204.0</v>
      </c>
      <c r="I77" s="67" t="s">
        <v>18</v>
      </c>
      <c r="J77" s="67" t="s">
        <v>54</v>
      </c>
      <c r="K77" s="67" t="s">
        <v>83</v>
      </c>
      <c r="L77" s="67" t="s">
        <v>56</v>
      </c>
      <c r="M77" s="67" t="s">
        <v>84</v>
      </c>
      <c r="N77" s="67" t="s">
        <v>20</v>
      </c>
      <c r="O77" s="59" t="s">
        <v>59</v>
      </c>
      <c r="P77" s="59"/>
      <c r="Q77" s="59" t="s">
        <v>348</v>
      </c>
      <c r="R77" s="67" t="s">
        <v>330</v>
      </c>
      <c r="S77" s="59"/>
      <c r="T77" s="59"/>
      <c r="U77" s="77" t="str">
        <f t="array" ref="U77">IFERROR(INDEX(DFD!$D$2:$D$1048791,MATCH($Q77,DFD!$B$2:$B$1048791,0)),"")</f>
        <v/>
      </c>
      <c r="V77" s="77" t="str">
        <f t="array" ref="V77">IFERROR(INDEX(DFD!$F$2:$F$1048791,MATCH($Q77,DFD!$B$2:$B$1048791,0)),"")</f>
        <v/>
      </c>
      <c r="W77" s="84" t="str">
        <f t="array" ref="W77">IFERROR(INDEX(DFD!$E$2:$E$1048791,MATCH($Q77,DFD!$B$2:$B$1048791,0)),"")</f>
        <v/>
      </c>
      <c r="X77" s="84" t="str">
        <f t="array" ref="X77">IFERROR(INDEX(DFD!$K$2:$K$1048791,MATCH($Q77,DFD!$B$2:$B$1048791,0)),"")</f>
        <v/>
      </c>
      <c r="Y77" s="84" t="str">
        <f t="array" ref="Y77">IFERROR(INDEX(DFD!$L$2:$L$1048790,MATCH($Q77,DFD!$B$2:$B$1048790,0)),"")</f>
        <v/>
      </c>
      <c r="Z77" s="84">
        <f t="shared" si="4"/>
        <v>45</v>
      </c>
      <c r="AA77" s="59"/>
      <c r="AB77" s="59" t="s">
        <v>72</v>
      </c>
      <c r="AC77" s="59"/>
      <c r="AD77" s="85">
        <v>46043.0</v>
      </c>
      <c r="AE77" s="114">
        <f t="shared" si="5"/>
        <v>1</v>
      </c>
    </row>
    <row r="78" ht="15.75" customHeight="1">
      <c r="A78" s="92"/>
      <c r="B78" s="92" t="s">
        <v>107</v>
      </c>
      <c r="C78" s="116" t="s">
        <v>347</v>
      </c>
      <c r="D78" s="116" t="s">
        <v>51</v>
      </c>
      <c r="E78" s="116">
        <v>1.0</v>
      </c>
      <c r="F78" s="117">
        <v>9000.0</v>
      </c>
      <c r="G78" s="90" t="s">
        <v>53</v>
      </c>
      <c r="H78" s="118">
        <v>46204.0</v>
      </c>
      <c r="I78" s="92" t="s">
        <v>18</v>
      </c>
      <c r="J78" s="92" t="s">
        <v>54</v>
      </c>
      <c r="K78" s="92" t="s">
        <v>83</v>
      </c>
      <c r="L78" s="92" t="s">
        <v>56</v>
      </c>
      <c r="M78" s="92" t="s">
        <v>84</v>
      </c>
      <c r="N78" s="92" t="s">
        <v>20</v>
      </c>
      <c r="O78" s="87" t="s">
        <v>59</v>
      </c>
      <c r="P78" s="87"/>
      <c r="Q78" s="87" t="s">
        <v>348</v>
      </c>
      <c r="R78" s="92" t="s">
        <v>330</v>
      </c>
      <c r="S78" s="87"/>
      <c r="T78" s="87"/>
      <c r="U78" s="94" t="str">
        <f t="array" ref="U78">IFERROR(INDEX(DFD!$D$2:$D$1048791,MATCH($Q78,DFD!$B$2:$B$1048791,0)),"")</f>
        <v/>
      </c>
      <c r="V78" s="94" t="str">
        <f t="array" ref="V78">IFERROR(INDEX(DFD!$F$2:$F$1048791,MATCH($Q78,DFD!$B$2:$B$1048791,0)),"")</f>
        <v/>
      </c>
      <c r="W78" s="97" t="str">
        <f t="array" ref="W78">IFERROR(INDEX(DFD!$E$2:$E$1048791,MATCH($Q78,DFD!$B$2:$B$1048791,0)),"")</f>
        <v/>
      </c>
      <c r="X78" s="97" t="str">
        <f t="array" ref="X78">IFERROR(INDEX(DFD!$K$2:$K$1048791,MATCH($Q78,DFD!$B$2:$B$1048791,0)),"")</f>
        <v/>
      </c>
      <c r="Y78" s="97" t="str">
        <f t="array" ref="Y78">IFERROR(INDEX(DFD!$L$2:$L$1048790,MATCH($Q78,DFD!$B$2:$B$1048790,0)),"")</f>
        <v/>
      </c>
      <c r="Z78" s="97">
        <f t="shared" si="4"/>
        <v>45</v>
      </c>
      <c r="AA78" s="87"/>
      <c r="AB78" s="87" t="s">
        <v>72</v>
      </c>
      <c r="AC78" s="87"/>
      <c r="AD78" s="99">
        <v>46043.0</v>
      </c>
      <c r="AE78" s="119">
        <f t="shared" si="5"/>
        <v>1</v>
      </c>
    </row>
    <row r="79" ht="15.75" customHeight="1">
      <c r="A79" s="67"/>
      <c r="B79" s="67" t="s">
        <v>94</v>
      </c>
      <c r="C79" s="81" t="s">
        <v>347</v>
      </c>
      <c r="D79" s="81" t="s">
        <v>51</v>
      </c>
      <c r="E79" s="81">
        <v>1.0</v>
      </c>
      <c r="F79" s="113">
        <v>9000.0</v>
      </c>
      <c r="G79" s="73" t="s">
        <v>53</v>
      </c>
      <c r="H79" s="83">
        <v>46204.0</v>
      </c>
      <c r="I79" s="67" t="s">
        <v>18</v>
      </c>
      <c r="J79" s="67" t="s">
        <v>54</v>
      </c>
      <c r="K79" s="67" t="s">
        <v>83</v>
      </c>
      <c r="L79" s="67" t="s">
        <v>56</v>
      </c>
      <c r="M79" s="67" t="s">
        <v>84</v>
      </c>
      <c r="N79" s="67" t="s">
        <v>20</v>
      </c>
      <c r="O79" s="59" t="s">
        <v>59</v>
      </c>
      <c r="P79" s="59"/>
      <c r="Q79" s="59" t="s">
        <v>348</v>
      </c>
      <c r="R79" s="67" t="s">
        <v>330</v>
      </c>
      <c r="S79" s="59"/>
      <c r="T79" s="59"/>
      <c r="U79" s="77" t="str">
        <f t="array" ref="U79">IFERROR(INDEX(DFD!$D$2:$D$1048791,MATCH($Q79,DFD!$B$2:$B$1048791,0)),"")</f>
        <v/>
      </c>
      <c r="V79" s="77" t="str">
        <f t="array" ref="V79">IFERROR(INDEX(DFD!$F$2:$F$1048791,MATCH($Q79,DFD!$B$2:$B$1048791,0)),"")</f>
        <v/>
      </c>
      <c r="W79" s="84" t="str">
        <f t="array" ref="W79">IFERROR(INDEX(DFD!$E$2:$E$1048791,MATCH($Q79,DFD!$B$2:$B$1048791,0)),"")</f>
        <v/>
      </c>
      <c r="X79" s="84" t="str">
        <f t="array" ref="X79">IFERROR(INDEX(DFD!$K$2:$K$1048791,MATCH($Q79,DFD!$B$2:$B$1048791,0)),"")</f>
        <v/>
      </c>
      <c r="Y79" s="84" t="str">
        <f t="array" ref="Y79">IFERROR(INDEX(DFD!$L$2:$L$1048790,MATCH($Q79,DFD!$B$2:$B$1048790,0)),"")</f>
        <v/>
      </c>
      <c r="Z79" s="84">
        <f t="shared" si="4"/>
        <v>45</v>
      </c>
      <c r="AA79" s="59"/>
      <c r="AB79" s="59" t="s">
        <v>72</v>
      </c>
      <c r="AC79" s="59"/>
      <c r="AD79" s="85">
        <v>46043.0</v>
      </c>
      <c r="AE79" s="114">
        <f t="shared" si="5"/>
        <v>1</v>
      </c>
    </row>
    <row r="80" ht="15.75" customHeight="1">
      <c r="A80" s="92"/>
      <c r="B80" s="92" t="s">
        <v>49</v>
      </c>
      <c r="C80" s="116" t="s">
        <v>358</v>
      </c>
      <c r="D80" s="116" t="s">
        <v>51</v>
      </c>
      <c r="E80" s="116">
        <v>1.0</v>
      </c>
      <c r="F80" s="82">
        <v>2200000.0</v>
      </c>
      <c r="G80" s="90" t="s">
        <v>53</v>
      </c>
      <c r="H80" s="118">
        <v>46266.0</v>
      </c>
      <c r="I80" s="92" t="s">
        <v>18</v>
      </c>
      <c r="J80" s="92" t="s">
        <v>54</v>
      </c>
      <c r="K80" s="92" t="s">
        <v>83</v>
      </c>
      <c r="L80" s="92" t="s">
        <v>197</v>
      </c>
      <c r="M80" s="92" t="s">
        <v>84</v>
      </c>
      <c r="N80" s="92" t="s">
        <v>20</v>
      </c>
      <c r="O80" s="87" t="s">
        <v>59</v>
      </c>
      <c r="P80" s="87"/>
      <c r="Q80" s="87"/>
      <c r="R80" s="92" t="s">
        <v>330</v>
      </c>
      <c r="S80" s="87"/>
      <c r="T80" s="87"/>
      <c r="U80" s="94"/>
      <c r="V80" s="94" t="s">
        <v>62</v>
      </c>
      <c r="W80" s="97" t="str">
        <f t="array" ref="W80">IFERROR(INDEX(DFD!$E$2:$E$1048791,MATCH($Q80,DFD!$B$2:$B$1048791,0)),"")</f>
        <v/>
      </c>
      <c r="X80" s="97" t="str">
        <f t="array" ref="X80">IFERROR(INDEX(DFD!$K$2:$K$1048791,MATCH($Q80,DFD!$B$2:$B$1048791,0)),"")</f>
        <v/>
      </c>
      <c r="Y80" s="97" t="str">
        <f t="array" ref="Y80">IFERROR(INDEX(DFD!$L$2:$L$1048790,MATCH($Q80,DFD!$B$2:$B$1048790,0)),"")</f>
        <v/>
      </c>
      <c r="Z80" s="97">
        <f t="shared" si="4"/>
        <v>45</v>
      </c>
      <c r="AA80" s="87"/>
      <c r="AB80" s="87" t="s">
        <v>72</v>
      </c>
      <c r="AC80" s="87"/>
      <c r="AD80" s="99">
        <v>46043.0</v>
      </c>
      <c r="AE80" s="119">
        <f t="shared" si="5"/>
        <v>1</v>
      </c>
    </row>
    <row r="81" ht="15.75" customHeight="1">
      <c r="A81" s="67"/>
      <c r="B81" s="67" t="s">
        <v>49</v>
      </c>
      <c r="C81" s="81" t="s">
        <v>359</v>
      </c>
      <c r="D81" s="81" t="s">
        <v>51</v>
      </c>
      <c r="E81" s="81">
        <v>1.0</v>
      </c>
      <c r="F81" s="113">
        <v>450000.0</v>
      </c>
      <c r="G81" s="73" t="s">
        <v>53</v>
      </c>
      <c r="H81" s="83">
        <v>46266.0</v>
      </c>
      <c r="I81" s="67" t="s">
        <v>18</v>
      </c>
      <c r="J81" s="67" t="s">
        <v>54</v>
      </c>
      <c r="K81" s="67" t="s">
        <v>83</v>
      </c>
      <c r="L81" s="67" t="s">
        <v>197</v>
      </c>
      <c r="M81" s="67" t="s">
        <v>84</v>
      </c>
      <c r="N81" s="67" t="s">
        <v>20</v>
      </c>
      <c r="O81" s="59" t="s">
        <v>59</v>
      </c>
      <c r="P81" s="59"/>
      <c r="Q81" s="59"/>
      <c r="R81" s="67" t="s">
        <v>330</v>
      </c>
      <c r="S81" s="59"/>
      <c r="T81" s="59"/>
      <c r="U81" s="77"/>
      <c r="V81" s="77" t="s">
        <v>62</v>
      </c>
      <c r="W81" s="84" t="str">
        <f t="array" ref="W81">IFERROR(INDEX(DFD!$E$2:$E$1048791,MATCH($Q81,DFD!$B$2:$B$1048791,0)),"")</f>
        <v/>
      </c>
      <c r="X81" s="84" t="str">
        <f t="array" ref="X81">IFERROR(INDEX(DFD!$K$2:$K$1048791,MATCH($Q81,DFD!$B$2:$B$1048791,0)),"")</f>
        <v/>
      </c>
      <c r="Y81" s="84" t="str">
        <f t="array" ref="Y81">IFERROR(INDEX(DFD!$L$2:$L$1048790,MATCH($Q81,DFD!$B$2:$B$1048790,0)),"")</f>
        <v/>
      </c>
      <c r="Z81" s="84">
        <f t="shared" si="4"/>
        <v>45</v>
      </c>
      <c r="AA81" s="59"/>
      <c r="AB81" s="59" t="s">
        <v>72</v>
      </c>
      <c r="AC81" s="59"/>
      <c r="AD81" s="85">
        <v>46043.0</v>
      </c>
      <c r="AE81" s="114">
        <f t="shared" si="5"/>
        <v>1</v>
      </c>
    </row>
    <row r="82" ht="15.75" customHeight="1">
      <c r="A82" s="140"/>
      <c r="B82" s="140" t="s">
        <v>49</v>
      </c>
      <c r="C82" s="141" t="s">
        <v>366</v>
      </c>
      <c r="D82" s="141" t="s">
        <v>51</v>
      </c>
      <c r="E82" s="141">
        <v>1.0</v>
      </c>
      <c r="F82" s="142">
        <v>350000.0</v>
      </c>
      <c r="G82" s="143" t="s">
        <v>53</v>
      </c>
      <c r="H82" s="144">
        <v>46266.0</v>
      </c>
      <c r="I82" s="140" t="s">
        <v>18</v>
      </c>
      <c r="J82" s="140" t="s">
        <v>54</v>
      </c>
      <c r="K82" s="140" t="s">
        <v>83</v>
      </c>
      <c r="L82" s="140" t="s">
        <v>197</v>
      </c>
      <c r="M82" s="140" t="s">
        <v>84</v>
      </c>
      <c r="N82" s="140" t="s">
        <v>20</v>
      </c>
      <c r="O82" s="145" t="s">
        <v>59</v>
      </c>
      <c r="P82" s="145"/>
      <c r="Q82" s="145"/>
      <c r="R82" s="92" t="s">
        <v>330</v>
      </c>
      <c r="S82" s="87"/>
      <c r="T82" s="87"/>
      <c r="U82" s="94"/>
      <c r="V82" s="94" t="s">
        <v>62</v>
      </c>
      <c r="W82" s="97" t="str">
        <f t="array" ref="W82">IFERROR(INDEX(DFD!$E$2:$E$1048791,MATCH($Q82,DFD!$B$2:$B$1048791,0)),"")</f>
        <v/>
      </c>
      <c r="X82" s="97" t="str">
        <f t="array" ref="X82">IFERROR(INDEX(DFD!$K$2:$K$1048791,MATCH($Q82,DFD!$B$2:$B$1048791,0)),"")</f>
        <v/>
      </c>
      <c r="Y82" s="97" t="str">
        <f t="array" ref="Y82">IFERROR(INDEX(DFD!$L$2:$L$1048790,MATCH($Q82,DFD!$B$2:$B$1048790,0)),"")</f>
        <v/>
      </c>
      <c r="Z82" s="97">
        <f t="shared" si="4"/>
        <v>45</v>
      </c>
      <c r="AA82" s="87"/>
      <c r="AB82" s="87" t="s">
        <v>72</v>
      </c>
      <c r="AC82" s="87"/>
      <c r="AD82" s="99">
        <v>46043.0</v>
      </c>
      <c r="AE82" s="119">
        <f t="shared" si="5"/>
        <v>1</v>
      </c>
    </row>
    <row r="83" ht="15.75" customHeight="1">
      <c r="A83" s="67"/>
      <c r="B83" s="67" t="s">
        <v>155</v>
      </c>
      <c r="C83" s="81" t="s">
        <v>378</v>
      </c>
      <c r="D83" s="81" t="s">
        <v>51</v>
      </c>
      <c r="E83" s="81">
        <v>1.0</v>
      </c>
      <c r="F83" s="113">
        <v>50000.0</v>
      </c>
      <c r="G83" s="73" t="s">
        <v>53</v>
      </c>
      <c r="H83" s="83">
        <v>46266.0</v>
      </c>
      <c r="I83" s="67" t="s">
        <v>17</v>
      </c>
      <c r="J83" s="67" t="s">
        <v>54</v>
      </c>
      <c r="K83" s="67" t="s">
        <v>380</v>
      </c>
      <c r="L83" s="67" t="s">
        <v>56</v>
      </c>
      <c r="M83" s="67" t="s">
        <v>84</v>
      </c>
      <c r="N83" s="67" t="s">
        <v>20</v>
      </c>
      <c r="O83" s="59" t="s">
        <v>59</v>
      </c>
      <c r="P83" s="59"/>
      <c r="Q83" s="59" t="s">
        <v>381</v>
      </c>
      <c r="R83" s="67" t="s">
        <v>382</v>
      </c>
      <c r="S83" s="59"/>
      <c r="T83" s="59"/>
      <c r="U83" s="77" t="str">
        <f t="array" ref="U83">IFERROR(INDEX(DFD!$D$2:$D$1048791,MATCH($Q83,DFD!$B$2:$B$1048791,0)),"")</f>
        <v/>
      </c>
      <c r="V83" s="77" t="str">
        <f t="array" ref="V83">IFERROR(INDEX(DFD!$F$2:$F$1048791,MATCH($Q83,DFD!$B$2:$B$1048791,0)),"")</f>
        <v/>
      </c>
      <c r="W83" s="84" t="str">
        <f t="array" ref="W83">IFERROR(INDEX(DFD!$E$2:$E$1048791,MATCH($Q83,DFD!$B$2:$B$1048791,0)),"")</f>
        <v/>
      </c>
      <c r="X83" s="84" t="str">
        <f t="array" ref="X83">IFERROR(INDEX(DFD!$K$2:$K$1048791,MATCH($Q83,DFD!$B$2:$B$1048791,0)),"")</f>
        <v/>
      </c>
      <c r="Y83" s="84" t="str">
        <f t="array" ref="Y83">IFERROR(INDEX(DFD!$L$2:$L$1048790,MATCH($Q83,DFD!$B$2:$B$1048790,0)),"")</f>
        <v/>
      </c>
      <c r="Z83" s="84">
        <f t="shared" si="4"/>
        <v>45</v>
      </c>
      <c r="AA83" s="59"/>
      <c r="AB83" s="59" t="s">
        <v>72</v>
      </c>
      <c r="AC83" s="59"/>
      <c r="AD83" s="85">
        <v>46043.0</v>
      </c>
      <c r="AE83" s="114">
        <f t="shared" si="5"/>
        <v>1</v>
      </c>
    </row>
    <row r="84" ht="15.75" customHeight="1">
      <c r="A84" s="92"/>
      <c r="B84" s="92" t="s">
        <v>386</v>
      </c>
      <c r="C84" s="116" t="s">
        <v>387</v>
      </c>
      <c r="D84" s="116" t="s">
        <v>51</v>
      </c>
      <c r="E84" s="116">
        <v>2.0</v>
      </c>
      <c r="F84" s="117">
        <v>80000.0</v>
      </c>
      <c r="G84" s="90" t="s">
        <v>53</v>
      </c>
      <c r="H84" s="118">
        <v>46266.0</v>
      </c>
      <c r="I84" s="92" t="s">
        <v>17</v>
      </c>
      <c r="J84" s="92" t="s">
        <v>54</v>
      </c>
      <c r="K84" s="92" t="s">
        <v>380</v>
      </c>
      <c r="L84" s="92" t="s">
        <v>56</v>
      </c>
      <c r="M84" s="92" t="s">
        <v>84</v>
      </c>
      <c r="N84" s="92" t="s">
        <v>20</v>
      </c>
      <c r="O84" s="87" t="s">
        <v>59</v>
      </c>
      <c r="P84" s="87"/>
      <c r="Q84" s="87" t="s">
        <v>388</v>
      </c>
      <c r="R84" s="92" t="s">
        <v>382</v>
      </c>
      <c r="S84" s="87"/>
      <c r="T84" s="87"/>
      <c r="U84" s="94" t="str">
        <f t="array" ref="U84">IFERROR(INDEX(DFD!$D$2:$D$1048791,MATCH($Q84,DFD!$B$2:$B$1048791,0)),"")</f>
        <v/>
      </c>
      <c r="V84" s="94" t="str">
        <f t="array" ref="V84">IFERROR(INDEX(DFD!$F$2:$F$1048791,MATCH($Q84,DFD!$B$2:$B$1048791,0)),"")</f>
        <v/>
      </c>
      <c r="W84" s="97" t="str">
        <f t="array" ref="W84">IFERROR(INDEX(DFD!$E$2:$E$1048791,MATCH($Q84,DFD!$B$2:$B$1048791,0)),"")</f>
        <v/>
      </c>
      <c r="X84" s="97" t="str">
        <f t="array" ref="X84">IFERROR(INDEX(DFD!$K$2:$K$1048791,MATCH($Q84,DFD!$B$2:$B$1048791,0)),"")</f>
        <v/>
      </c>
      <c r="Y84" s="97" t="str">
        <f t="array" ref="Y84">IFERROR(INDEX(DFD!$L$2:$L$1048790,MATCH($Q84,DFD!$B$2:$B$1048790,0)),"")</f>
        <v/>
      </c>
      <c r="Z84" s="97">
        <f t="shared" si="4"/>
        <v>45</v>
      </c>
      <c r="AA84" s="87"/>
      <c r="AB84" s="87" t="s">
        <v>72</v>
      </c>
      <c r="AC84" s="87"/>
      <c r="AD84" s="99">
        <v>46043.0</v>
      </c>
      <c r="AE84" s="119">
        <f t="shared" si="5"/>
        <v>1</v>
      </c>
    </row>
    <row r="85" ht="15.75" customHeight="1">
      <c r="A85" s="67"/>
      <c r="B85" s="67" t="s">
        <v>148</v>
      </c>
      <c r="C85" s="81" t="s">
        <v>392</v>
      </c>
      <c r="D85" s="81" t="s">
        <v>51</v>
      </c>
      <c r="E85" s="81">
        <v>1.0</v>
      </c>
      <c r="F85" s="113">
        <v>12000.0</v>
      </c>
      <c r="G85" s="73" t="s">
        <v>53</v>
      </c>
      <c r="H85" s="83">
        <v>46235.0</v>
      </c>
      <c r="I85" s="67" t="s">
        <v>17</v>
      </c>
      <c r="J85" s="67" t="s">
        <v>54</v>
      </c>
      <c r="K85" s="67" t="s">
        <v>380</v>
      </c>
      <c r="L85" s="67" t="s">
        <v>56</v>
      </c>
      <c r="M85" s="67" t="s">
        <v>84</v>
      </c>
      <c r="N85" s="67" t="s">
        <v>20</v>
      </c>
      <c r="O85" s="59" t="s">
        <v>59</v>
      </c>
      <c r="P85" s="59"/>
      <c r="Q85" s="59" t="s">
        <v>393</v>
      </c>
      <c r="R85" s="67" t="s">
        <v>382</v>
      </c>
      <c r="S85" s="59"/>
      <c r="T85" s="59"/>
      <c r="U85" s="77" t="str">
        <f t="array" ref="U85">IFERROR(INDEX(DFD!$D$2:$D$1048791,MATCH($Q85,DFD!$B$2:$B$1048791,0)),"")</f>
        <v/>
      </c>
      <c r="V85" s="77" t="str">
        <f t="array" ref="V85">IFERROR(INDEX(DFD!$F$2:$F$1048791,MATCH($Q85,DFD!$B$2:$B$1048791,0)),"")</f>
        <v/>
      </c>
      <c r="W85" s="84" t="str">
        <f t="array" ref="W85">IFERROR(INDEX(DFD!$E$2:$E$1048791,MATCH($Q85,DFD!$B$2:$B$1048791,0)),"")</f>
        <v/>
      </c>
      <c r="X85" s="84" t="str">
        <f t="array" ref="X85">IFERROR(INDEX(DFD!$K$2:$K$1048791,MATCH($Q85,DFD!$B$2:$B$1048791,0)),"")</f>
        <v/>
      </c>
      <c r="Y85" s="84" t="str">
        <f t="array" ref="Y85">IFERROR(INDEX(DFD!$L$2:$L$1048790,MATCH($Q85,DFD!$B$2:$B$1048790,0)),"")</f>
        <v/>
      </c>
      <c r="Z85" s="84">
        <f t="shared" si="4"/>
        <v>45</v>
      </c>
      <c r="AA85" s="59"/>
      <c r="AB85" s="59" t="s">
        <v>72</v>
      </c>
      <c r="AC85" s="59"/>
      <c r="AD85" s="85">
        <v>46043.0</v>
      </c>
      <c r="AE85" s="114">
        <f t="shared" si="5"/>
        <v>1</v>
      </c>
    </row>
    <row r="86" ht="15.75" customHeight="1">
      <c r="A86" s="92"/>
      <c r="B86" s="92" t="s">
        <v>400</v>
      </c>
      <c r="C86" s="116" t="s">
        <v>401</v>
      </c>
      <c r="D86" s="116" t="s">
        <v>51</v>
      </c>
      <c r="E86" s="116">
        <v>12.0</v>
      </c>
      <c r="F86" s="117">
        <v>120000.0</v>
      </c>
      <c r="G86" s="90" t="s">
        <v>53</v>
      </c>
      <c r="H86" s="118">
        <v>46266.0</v>
      </c>
      <c r="I86" s="92" t="s">
        <v>17</v>
      </c>
      <c r="J86" s="92" t="s">
        <v>54</v>
      </c>
      <c r="K86" s="92" t="s">
        <v>55</v>
      </c>
      <c r="L86" s="92" t="s">
        <v>56</v>
      </c>
      <c r="M86" s="92" t="s">
        <v>84</v>
      </c>
      <c r="N86" s="92" t="s">
        <v>20</v>
      </c>
      <c r="O86" s="87" t="s">
        <v>59</v>
      </c>
      <c r="P86" s="87"/>
      <c r="Q86" s="87" t="s">
        <v>403</v>
      </c>
      <c r="R86" s="92" t="s">
        <v>382</v>
      </c>
      <c r="S86" s="87"/>
      <c r="T86" s="87"/>
      <c r="U86" s="94" t="str">
        <f t="array" ref="U86">IFERROR(INDEX(DFD!$D$2:$D$1048791,MATCH($Q86,DFD!$B$2:$B$1048791,0)),"")</f>
        <v/>
      </c>
      <c r="V86" s="94" t="str">
        <f t="array" ref="V86">IFERROR(INDEX(DFD!$F$2:$F$1048791,MATCH($Q86,DFD!$B$2:$B$1048791,0)),"")</f>
        <v/>
      </c>
      <c r="W86" s="97" t="str">
        <f t="array" ref="W86">IFERROR(INDEX(DFD!$E$2:$E$1048791,MATCH($Q86,DFD!$B$2:$B$1048791,0)),"")</f>
        <v/>
      </c>
      <c r="X86" s="97" t="str">
        <f t="array" ref="X86">IFERROR(INDEX(DFD!$K$2:$K$1048791,MATCH($Q86,DFD!$B$2:$B$1048791,0)),"")</f>
        <v/>
      </c>
      <c r="Y86" s="97" t="str">
        <f t="array" ref="Y86">IFERROR(INDEX(DFD!$L$2:$L$1048790,MATCH($Q86,DFD!$B$2:$B$1048790,0)),"")</f>
        <v/>
      </c>
      <c r="Z86" s="97">
        <f t="shared" si="4"/>
        <v>45</v>
      </c>
      <c r="AA86" s="87"/>
      <c r="AB86" s="87" t="s">
        <v>72</v>
      </c>
      <c r="AC86" s="87"/>
      <c r="AD86" s="99">
        <v>46043.0</v>
      </c>
      <c r="AE86" s="119">
        <f t="shared" si="5"/>
        <v>1</v>
      </c>
    </row>
    <row r="87" ht="15.75" customHeight="1">
      <c r="A87" s="67"/>
      <c r="B87" s="67" t="s">
        <v>101</v>
      </c>
      <c r="C87" s="81" t="s">
        <v>406</v>
      </c>
      <c r="D87" s="81" t="s">
        <v>51</v>
      </c>
      <c r="E87" s="81">
        <v>8.0</v>
      </c>
      <c r="F87" s="113">
        <v>18240.0</v>
      </c>
      <c r="G87" s="73" t="s">
        <v>53</v>
      </c>
      <c r="H87" s="83">
        <v>46235.0</v>
      </c>
      <c r="I87" s="67" t="s">
        <v>17</v>
      </c>
      <c r="J87" s="67" t="s">
        <v>54</v>
      </c>
      <c r="K87" s="67" t="s">
        <v>55</v>
      </c>
      <c r="L87" s="67" t="s">
        <v>56</v>
      </c>
      <c r="M87" s="67" t="s">
        <v>84</v>
      </c>
      <c r="N87" s="59" t="s">
        <v>20</v>
      </c>
      <c r="O87" s="59" t="s">
        <v>59</v>
      </c>
      <c r="P87" s="59"/>
      <c r="Q87" s="59" t="s">
        <v>408</v>
      </c>
      <c r="R87" s="67" t="s">
        <v>382</v>
      </c>
      <c r="S87" s="59"/>
      <c r="T87" s="59"/>
      <c r="U87" s="146" t="s">
        <v>410</v>
      </c>
      <c r="V87" s="77" t="str">
        <f t="array" ref="V87">IFERROR(INDEX(DFD!$F$2:$F$1048791,MATCH($Q87,DFD!$B$2:$B$1048791,0)),"")</f>
        <v/>
      </c>
      <c r="W87" s="84" t="str">
        <f t="array" ref="W87">IFERROR(INDEX(DFD!$E$2:$E$1048791,MATCH($Q87,DFD!$B$2:$B$1048791,0)),"")</f>
        <v/>
      </c>
      <c r="X87" s="84" t="str">
        <f t="array" ref="X87">IFERROR(INDEX(DFD!$K$2:$K$1048791,MATCH($Q87,DFD!$B$2:$B$1048791,0)),"")</f>
        <v/>
      </c>
      <c r="Y87" s="84" t="str">
        <f t="array" ref="Y87">IFERROR(INDEX(DFD!$L$2:$L$1048790,MATCH($Q87,DFD!$B$2:$B$1048790,0)),"")</f>
        <v/>
      </c>
      <c r="Z87" s="84">
        <f t="shared" si="4"/>
        <v>45</v>
      </c>
      <c r="AA87" s="59"/>
      <c r="AB87" s="59" t="s">
        <v>72</v>
      </c>
      <c r="AC87" s="59"/>
      <c r="AD87" s="85">
        <v>46043.0</v>
      </c>
      <c r="AE87" s="114">
        <f t="shared" si="5"/>
        <v>1</v>
      </c>
    </row>
    <row r="88" ht="15.75" customHeight="1">
      <c r="A88" s="92"/>
      <c r="B88" s="92" t="s">
        <v>155</v>
      </c>
      <c r="C88" s="116" t="s">
        <v>414</v>
      </c>
      <c r="D88" s="116" t="s">
        <v>51</v>
      </c>
      <c r="E88" s="116">
        <v>2.0</v>
      </c>
      <c r="F88" s="117">
        <v>40000.0</v>
      </c>
      <c r="G88" s="90" t="s">
        <v>53</v>
      </c>
      <c r="H88" s="118">
        <v>46266.0</v>
      </c>
      <c r="I88" s="92" t="s">
        <v>17</v>
      </c>
      <c r="J88" s="92" t="s">
        <v>54</v>
      </c>
      <c r="K88" s="92" t="s">
        <v>380</v>
      </c>
      <c r="L88" s="92" t="s">
        <v>56</v>
      </c>
      <c r="M88" s="92" t="s">
        <v>84</v>
      </c>
      <c r="N88" s="87" t="s">
        <v>20</v>
      </c>
      <c r="O88" s="87" t="s">
        <v>59</v>
      </c>
      <c r="P88" s="87"/>
      <c r="Q88" s="87" t="s">
        <v>415</v>
      </c>
      <c r="R88" s="92" t="s">
        <v>382</v>
      </c>
      <c r="S88" s="87"/>
      <c r="T88" s="87"/>
      <c r="U88" s="94" t="str">
        <f t="array" ref="U88">IFERROR(INDEX(DFD!$D$2:$D$1048791,MATCH($Q88,DFD!$B$2:$B$1048791,0)),"")</f>
        <v/>
      </c>
      <c r="V88" s="94" t="str">
        <f t="array" ref="V88">IFERROR(INDEX(DFD!$F$2:$F$1048791,MATCH($Q88,DFD!$B$2:$B$1048791,0)),"")</f>
        <v/>
      </c>
      <c r="W88" s="97" t="str">
        <f t="array" ref="W88">IFERROR(INDEX(DFD!$E$2:$E$1048791,MATCH($Q88,DFD!$B$2:$B$1048791,0)),"")</f>
        <v/>
      </c>
      <c r="X88" s="97" t="str">
        <f t="array" ref="X88">IFERROR(INDEX(DFD!$K$2:$K$1048791,MATCH($Q88,DFD!$B$2:$B$1048791,0)),"")</f>
        <v/>
      </c>
      <c r="Y88" s="97" t="str">
        <f t="array" ref="Y88">IFERROR(INDEX(DFD!$L$2:$L$1048790,MATCH($Q88,DFD!$B$2:$B$1048790,0)),"")</f>
        <v/>
      </c>
      <c r="Z88" s="97">
        <f t="shared" si="4"/>
        <v>45</v>
      </c>
      <c r="AA88" s="87"/>
      <c r="AB88" s="87" t="s">
        <v>72</v>
      </c>
      <c r="AC88" s="87"/>
      <c r="AD88" s="99">
        <v>46043.0</v>
      </c>
      <c r="AE88" s="119">
        <f t="shared" si="5"/>
        <v>1</v>
      </c>
    </row>
    <row r="89" ht="15.75" customHeight="1">
      <c r="A89" s="67"/>
      <c r="B89" s="67" t="s">
        <v>427</v>
      </c>
      <c r="C89" s="81" t="s">
        <v>428</v>
      </c>
      <c r="D89" s="81" t="s">
        <v>51</v>
      </c>
      <c r="E89" s="81">
        <v>1.0</v>
      </c>
      <c r="F89" s="113">
        <v>440000.0</v>
      </c>
      <c r="G89" s="73" t="s">
        <v>53</v>
      </c>
      <c r="H89" s="83">
        <v>46266.0</v>
      </c>
      <c r="I89" s="67" t="s">
        <v>18</v>
      </c>
      <c r="J89" s="67" t="s">
        <v>54</v>
      </c>
      <c r="K89" s="67" t="s">
        <v>429</v>
      </c>
      <c r="L89" s="67" t="s">
        <v>197</v>
      </c>
      <c r="M89" s="67" t="s">
        <v>84</v>
      </c>
      <c r="N89" s="67" t="s">
        <v>20</v>
      </c>
      <c r="O89" s="59" t="s">
        <v>59</v>
      </c>
      <c r="P89" s="59"/>
      <c r="Q89" s="59" t="s">
        <v>430</v>
      </c>
      <c r="R89" s="67" t="s">
        <v>431</v>
      </c>
      <c r="S89" s="59"/>
      <c r="T89" s="59"/>
      <c r="U89" s="77" t="str">
        <f t="array" ref="U89">IFERROR(INDEX(DFD!$D$2:$D$1048791,MATCH($Q89,DFD!$B$2:$B$1048791,0)),"")</f>
        <v/>
      </c>
      <c r="V89" s="77" t="str">
        <f t="array" ref="V89">IFERROR(INDEX(DFD!$F$2:$F$1048791,MATCH($Q89,DFD!$B$2:$B$1048791,0)),"")</f>
        <v/>
      </c>
      <c r="W89" s="84" t="str">
        <f t="array" ref="W89">IFERROR(INDEX(DFD!$E$2:$E$1048791,MATCH($Q89,DFD!$B$2:$B$1048791,0)),"")</f>
        <v/>
      </c>
      <c r="X89" s="84" t="str">
        <f t="array" ref="X89">IFERROR(INDEX(DFD!$K$2:$K$1048791,MATCH($Q89,DFD!$B$2:$B$1048791,0)),"")</f>
        <v/>
      </c>
      <c r="Y89" s="84" t="str">
        <f t="array" ref="Y89">IFERROR(INDEX(DFD!$L$2:$L$1048790,MATCH($Q89,DFD!$B$2:$B$1048790,0)),"")</f>
        <v/>
      </c>
      <c r="Z89" s="84">
        <f t="shared" si="4"/>
        <v>45</v>
      </c>
      <c r="AA89" s="59"/>
      <c r="AB89" s="59" t="s">
        <v>72</v>
      </c>
      <c r="AC89" s="59"/>
      <c r="AD89" s="85">
        <v>46043.0</v>
      </c>
      <c r="AE89" s="114">
        <f t="shared" si="5"/>
        <v>1</v>
      </c>
    </row>
    <row r="90" ht="15.75" customHeight="1">
      <c r="A90" s="92"/>
      <c r="B90" s="92" t="s">
        <v>427</v>
      </c>
      <c r="C90" s="116" t="s">
        <v>436</v>
      </c>
      <c r="D90" s="116" t="s">
        <v>51</v>
      </c>
      <c r="E90" s="116">
        <v>1.0</v>
      </c>
      <c r="F90" s="82">
        <v>500000.0</v>
      </c>
      <c r="G90" s="90" t="s">
        <v>437</v>
      </c>
      <c r="H90" s="118">
        <v>46266.0</v>
      </c>
      <c r="I90" s="92" t="s">
        <v>18</v>
      </c>
      <c r="J90" s="92" t="s">
        <v>54</v>
      </c>
      <c r="K90" s="92" t="s">
        <v>429</v>
      </c>
      <c r="L90" s="92" t="s">
        <v>56</v>
      </c>
      <c r="M90" s="92" t="s">
        <v>84</v>
      </c>
      <c r="N90" s="92" t="s">
        <v>20</v>
      </c>
      <c r="O90" s="87" t="s">
        <v>59</v>
      </c>
      <c r="P90" s="87"/>
      <c r="Q90" s="87" t="s">
        <v>438</v>
      </c>
      <c r="R90" s="92" t="s">
        <v>431</v>
      </c>
      <c r="S90" s="87"/>
      <c r="T90" s="87"/>
      <c r="U90" s="94" t="str">
        <f t="array" ref="U90">IFERROR(INDEX(DFD!$D$2:$D$1048791,MATCH($Q90,DFD!$B$2:$B$1048791,0)),"")</f>
        <v/>
      </c>
      <c r="V90" s="94" t="str">
        <f t="array" ref="V90">IFERROR(INDEX(DFD!$F$2:$F$1048791,MATCH($Q90,DFD!$B$2:$B$1048791,0)),"")</f>
        <v/>
      </c>
      <c r="W90" s="97" t="str">
        <f t="array" ref="W90">IFERROR(INDEX(DFD!$E$2:$E$1048791,MATCH($Q90,DFD!$B$2:$B$1048791,0)),"")</f>
        <v/>
      </c>
      <c r="X90" s="97" t="str">
        <f t="array" ref="X90">IFERROR(INDEX(DFD!$K$2:$K$1048791,MATCH($Q90,DFD!$B$2:$B$1048791,0)),"")</f>
        <v/>
      </c>
      <c r="Y90" s="97" t="str">
        <f t="array" ref="Y90">IFERROR(INDEX(DFD!$L$2:$L$1048790,MATCH($Q90,DFD!$B$2:$B$1048790,0)),"")</f>
        <v/>
      </c>
      <c r="Z90" s="97">
        <f t="shared" si="4"/>
        <v>45</v>
      </c>
      <c r="AA90" s="87"/>
      <c r="AB90" s="87" t="s">
        <v>78</v>
      </c>
      <c r="AC90" s="87"/>
      <c r="AD90" s="99">
        <v>46043.0</v>
      </c>
      <c r="AE90" s="119">
        <f t="shared" si="5"/>
        <v>1</v>
      </c>
    </row>
    <row r="91" ht="15.75" customHeight="1">
      <c r="A91" s="67"/>
      <c r="B91" s="67" t="s">
        <v>101</v>
      </c>
      <c r="C91" s="81" t="s">
        <v>440</v>
      </c>
      <c r="D91" s="81" t="s">
        <v>51</v>
      </c>
      <c r="E91" s="81">
        <v>35.0</v>
      </c>
      <c r="F91" s="113">
        <v>280000.0</v>
      </c>
      <c r="G91" s="73" t="s">
        <v>53</v>
      </c>
      <c r="H91" s="83">
        <v>46266.0</v>
      </c>
      <c r="I91" s="67" t="s">
        <v>18</v>
      </c>
      <c r="J91" s="67" t="s">
        <v>54</v>
      </c>
      <c r="K91" s="67" t="s">
        <v>83</v>
      </c>
      <c r="L91" s="67" t="s">
        <v>56</v>
      </c>
      <c r="M91" s="67" t="s">
        <v>84</v>
      </c>
      <c r="N91" s="67" t="s">
        <v>20</v>
      </c>
      <c r="O91" s="59" t="s">
        <v>59</v>
      </c>
      <c r="P91" s="59"/>
      <c r="Q91" s="59" t="s">
        <v>441</v>
      </c>
      <c r="R91" s="67" t="s">
        <v>442</v>
      </c>
      <c r="S91" s="59"/>
      <c r="T91" s="59"/>
      <c r="U91" s="77" t="str">
        <f t="array" ref="U91">IFERROR(INDEX(DFD!$D$2:$D$1048791,MATCH($Q91,DFD!$B$2:$B$1048791,0)),"")</f>
        <v/>
      </c>
      <c r="V91" s="77" t="str">
        <f t="array" ref="V91">IFERROR(INDEX(DFD!$F$2:$F$1048791,MATCH($Q91,DFD!$B$2:$B$1048791,0)),"")</f>
        <v/>
      </c>
      <c r="W91" s="84" t="str">
        <f t="array" ref="W91">IFERROR(INDEX(DFD!$E$2:$E$1048791,MATCH($Q91,DFD!$B$2:$B$1048791,0)),"")</f>
        <v/>
      </c>
      <c r="X91" s="84" t="str">
        <f t="array" ref="X91">IFERROR(INDEX(DFD!$K$2:$K$1048791,MATCH($Q91,DFD!$B$2:$B$1048791,0)),"")</f>
        <v/>
      </c>
      <c r="Y91" s="84" t="str">
        <f t="array" ref="Y91">IFERROR(INDEX(DFD!$L$2:$L$1048790,MATCH($Q91,DFD!$B$2:$B$1048790,0)),"")</f>
        <v/>
      </c>
      <c r="Z91" s="84">
        <f t="shared" si="4"/>
        <v>45</v>
      </c>
      <c r="AA91" s="59"/>
      <c r="AB91" s="59" t="s">
        <v>72</v>
      </c>
      <c r="AC91" s="59"/>
      <c r="AD91" s="85">
        <v>46043.0</v>
      </c>
      <c r="AE91" s="114">
        <f t="shared" si="5"/>
        <v>1</v>
      </c>
    </row>
    <row r="92" ht="15.75" customHeight="1">
      <c r="A92" s="92"/>
      <c r="B92" s="92" t="s">
        <v>101</v>
      </c>
      <c r="C92" s="80" t="s">
        <v>443</v>
      </c>
      <c r="D92" s="116" t="s">
        <v>51</v>
      </c>
      <c r="E92" s="116">
        <v>8.0</v>
      </c>
      <c r="F92" s="117">
        <v>32006.4</v>
      </c>
      <c r="G92" s="90" t="s">
        <v>53</v>
      </c>
      <c r="H92" s="118">
        <v>46235.0</v>
      </c>
      <c r="I92" s="92" t="s">
        <v>18</v>
      </c>
      <c r="J92" s="92" t="s">
        <v>54</v>
      </c>
      <c r="K92" s="92" t="s">
        <v>66</v>
      </c>
      <c r="L92" s="92" t="s">
        <v>56</v>
      </c>
      <c r="M92" s="92" t="s">
        <v>84</v>
      </c>
      <c r="N92" s="92" t="s">
        <v>20</v>
      </c>
      <c r="O92" s="87" t="s">
        <v>59</v>
      </c>
      <c r="P92" s="87"/>
      <c r="Q92" s="87" t="s">
        <v>441</v>
      </c>
      <c r="R92" s="92" t="s">
        <v>442</v>
      </c>
      <c r="S92" s="87"/>
      <c r="T92" s="87"/>
      <c r="U92" s="94" t="str">
        <f t="array" ref="U92">IFERROR(INDEX(DFD!$D$2:$D$1048791,MATCH($Q92,DFD!$B$2:$B$1048791,0)),"")</f>
        <v/>
      </c>
      <c r="V92" s="94" t="str">
        <f t="array" ref="V92">IFERROR(INDEX(DFD!$F$2:$F$1048791,MATCH($Q92,DFD!$B$2:$B$1048791,0)),"")</f>
        <v/>
      </c>
      <c r="W92" s="97" t="str">
        <f t="array" ref="W92">IFERROR(INDEX(DFD!$E$2:$E$1048791,MATCH($Q92,DFD!$B$2:$B$1048791,0)),"")</f>
        <v/>
      </c>
      <c r="X92" s="97" t="str">
        <f t="array" ref="X92">IFERROR(INDEX(DFD!$K$2:$K$1048791,MATCH($Q92,DFD!$B$2:$B$1048791,0)),"")</f>
        <v/>
      </c>
      <c r="Y92" s="97" t="str">
        <f t="array" ref="Y92">IFERROR(INDEX(DFD!$L$2:$L$1048790,MATCH($Q92,DFD!$B$2:$B$1048790,0)),"")</f>
        <v/>
      </c>
      <c r="Z92" s="97">
        <f t="shared" si="4"/>
        <v>45</v>
      </c>
      <c r="AA92" s="87"/>
      <c r="AB92" s="87" t="s">
        <v>72</v>
      </c>
      <c r="AC92" s="87"/>
      <c r="AD92" s="99">
        <v>46043.0</v>
      </c>
      <c r="AE92" s="119">
        <f t="shared" si="5"/>
        <v>1</v>
      </c>
    </row>
    <row r="93" ht="15.75" customHeight="1">
      <c r="A93" s="59"/>
      <c r="B93" s="59" t="s">
        <v>92</v>
      </c>
      <c r="C93" s="147" t="s">
        <v>447</v>
      </c>
      <c r="D93" s="60" t="s">
        <v>51</v>
      </c>
      <c r="E93" s="60">
        <v>1.0</v>
      </c>
      <c r="F93" s="138">
        <v>10000.0</v>
      </c>
      <c r="G93" s="73" t="s">
        <v>53</v>
      </c>
      <c r="H93" s="74">
        <v>46204.0</v>
      </c>
      <c r="I93" s="67" t="s">
        <v>18</v>
      </c>
      <c r="J93" s="67" t="s">
        <v>54</v>
      </c>
      <c r="K93" s="67" t="s">
        <v>83</v>
      </c>
      <c r="L93" s="67" t="s">
        <v>67</v>
      </c>
      <c r="M93" s="67" t="s">
        <v>448</v>
      </c>
      <c r="N93" s="59" t="s">
        <v>20</v>
      </c>
      <c r="O93" s="59" t="s">
        <v>59</v>
      </c>
      <c r="P93" s="59"/>
      <c r="Q93" s="59" t="s">
        <v>441</v>
      </c>
      <c r="R93" s="67" t="s">
        <v>442</v>
      </c>
      <c r="S93" s="59"/>
      <c r="T93" s="59"/>
      <c r="U93" s="77" t="str">
        <f t="array" ref="U93">IFERROR(INDEX(DFD!$D$2:$D$1048791,MATCH($Q93,DFD!$B$2:$B$1048791,0)),"")</f>
        <v/>
      </c>
      <c r="V93" s="77" t="str">
        <f t="array" ref="V93">IFERROR(INDEX(DFD!$F$2:$F$1048791,MATCH($Q93,DFD!$B$2:$B$1048791,0)),"")</f>
        <v/>
      </c>
      <c r="W93" s="84" t="str">
        <f t="array" ref="W93">IFERROR(INDEX(DFD!$E$2:$E$1048791,MATCH($Q93,DFD!$B$2:$B$1048791,0)),"")</f>
        <v/>
      </c>
      <c r="X93" s="84" t="str">
        <f t="array" ref="X93">IFERROR(INDEX(DFD!$K$2:$K$1048791,MATCH($Q93,DFD!$B$2:$B$1048791,0)),"")</f>
        <v/>
      </c>
      <c r="Y93" s="84" t="str">
        <f t="array" ref="Y93">IFERROR(INDEX(DFD!$L$2:$L$1048790,MATCH($Q93,DFD!$B$2:$B$1048790,0)),"")</f>
        <v/>
      </c>
      <c r="Z93" s="84">
        <f t="shared" si="4"/>
        <v>45</v>
      </c>
      <c r="AA93" s="59"/>
      <c r="AB93" s="59" t="s">
        <v>72</v>
      </c>
      <c r="AC93" s="59"/>
      <c r="AD93" s="85">
        <v>46043.0</v>
      </c>
      <c r="AE93" s="114">
        <f t="shared" si="5"/>
        <v>1</v>
      </c>
    </row>
    <row r="94" ht="15.75" customHeight="1">
      <c r="A94" s="92"/>
      <c r="B94" s="104" t="s">
        <v>101</v>
      </c>
      <c r="C94" s="80" t="s">
        <v>453</v>
      </c>
      <c r="D94" s="116" t="s">
        <v>51</v>
      </c>
      <c r="E94" s="116">
        <v>7.0</v>
      </c>
      <c r="F94" s="117">
        <v>70000.0</v>
      </c>
      <c r="G94" s="90" t="s">
        <v>53</v>
      </c>
      <c r="H94" s="118">
        <v>46266.0</v>
      </c>
      <c r="I94" s="92" t="s">
        <v>18</v>
      </c>
      <c r="J94" s="92" t="s">
        <v>54</v>
      </c>
      <c r="K94" s="92" t="s">
        <v>83</v>
      </c>
      <c r="L94" s="92" t="s">
        <v>67</v>
      </c>
      <c r="M94" s="92" t="s">
        <v>84</v>
      </c>
      <c r="N94" s="92" t="s">
        <v>20</v>
      </c>
      <c r="O94" s="87" t="s">
        <v>59</v>
      </c>
      <c r="P94" s="87"/>
      <c r="Q94" s="87" t="s">
        <v>441</v>
      </c>
      <c r="R94" s="92" t="s">
        <v>442</v>
      </c>
      <c r="S94" s="87"/>
      <c r="T94" s="87"/>
      <c r="U94" s="94" t="str">
        <f t="array" ref="U94">IFERROR(INDEX(DFD!$D$2:$D$1048791,MATCH($Q94,DFD!$B$2:$B$1048791,0)),"")</f>
        <v/>
      </c>
      <c r="V94" s="94" t="str">
        <f t="array" ref="V94">IFERROR(INDEX(DFD!$F$2:$F$1048791,MATCH($Q94,DFD!$B$2:$B$1048791,0)),"")</f>
        <v/>
      </c>
      <c r="W94" s="97" t="str">
        <f t="array" ref="W94">IFERROR(INDEX(DFD!$E$2:$E$1048791,MATCH($Q94,DFD!$B$2:$B$1048791,0)),"")</f>
        <v/>
      </c>
      <c r="X94" s="97" t="str">
        <f t="array" ref="X94">IFERROR(INDEX(DFD!$K$2:$K$1048791,MATCH($Q94,DFD!$B$2:$B$1048791,0)),"")</f>
        <v/>
      </c>
      <c r="Y94" s="97" t="str">
        <f t="array" ref="Y94">IFERROR(INDEX(DFD!$L$2:$L$1048790,MATCH($Q94,DFD!$B$2:$B$1048790,0)),"")</f>
        <v/>
      </c>
      <c r="Z94" s="97">
        <f t="shared" si="4"/>
        <v>45</v>
      </c>
      <c r="AA94" s="87"/>
      <c r="AB94" s="87" t="s">
        <v>72</v>
      </c>
      <c r="AC94" s="87"/>
      <c r="AD94" s="99">
        <v>46043.0</v>
      </c>
      <c r="AE94" s="119">
        <f t="shared" si="5"/>
        <v>1</v>
      </c>
    </row>
    <row r="95" ht="15.75" customHeight="1">
      <c r="A95" s="67"/>
      <c r="B95" s="67" t="s">
        <v>386</v>
      </c>
      <c r="C95" s="80" t="s">
        <v>459</v>
      </c>
      <c r="D95" s="81" t="s">
        <v>51</v>
      </c>
      <c r="E95" s="81">
        <v>1.0</v>
      </c>
      <c r="F95" s="113">
        <v>10000.0</v>
      </c>
      <c r="G95" s="73" t="s">
        <v>53</v>
      </c>
      <c r="H95" s="83">
        <v>46204.0</v>
      </c>
      <c r="I95" s="67" t="s">
        <v>18</v>
      </c>
      <c r="J95" s="67" t="s">
        <v>54</v>
      </c>
      <c r="K95" s="67" t="s">
        <v>83</v>
      </c>
      <c r="L95" s="67" t="s">
        <v>67</v>
      </c>
      <c r="M95" s="67" t="s">
        <v>84</v>
      </c>
      <c r="N95" s="67" t="s">
        <v>20</v>
      </c>
      <c r="O95" s="59" t="s">
        <v>59</v>
      </c>
      <c r="P95" s="59"/>
      <c r="Q95" s="59" t="s">
        <v>441</v>
      </c>
      <c r="R95" s="67" t="s">
        <v>442</v>
      </c>
      <c r="S95" s="59"/>
      <c r="T95" s="59"/>
      <c r="U95" s="77" t="str">
        <f t="array" ref="U95">IFERROR(INDEX(DFD!$D$2:$D$1048791,MATCH($Q95,DFD!$B$2:$B$1048791,0)),"")</f>
        <v/>
      </c>
      <c r="V95" s="77" t="str">
        <f t="array" ref="V95">IFERROR(INDEX(DFD!$F$2:$F$1048791,MATCH($Q95,DFD!$B$2:$B$1048791,0)),"")</f>
        <v/>
      </c>
      <c r="W95" s="84" t="str">
        <f t="array" ref="W95">IFERROR(INDEX(DFD!$E$2:$E$1048791,MATCH($Q95,DFD!$B$2:$B$1048791,0)),"")</f>
        <v/>
      </c>
      <c r="X95" s="84" t="str">
        <f t="array" ref="X95">IFERROR(INDEX(DFD!$K$2:$K$1048791,MATCH($Q95,DFD!$B$2:$B$1048791,0)),"")</f>
        <v/>
      </c>
      <c r="Y95" s="84" t="str">
        <f t="array" ref="Y95">IFERROR(INDEX(DFD!$L$2:$L$1048790,MATCH($Q95,DFD!$B$2:$B$1048790,0)),"")</f>
        <v/>
      </c>
      <c r="Z95" s="84">
        <f t="shared" si="4"/>
        <v>45</v>
      </c>
      <c r="AA95" s="59"/>
      <c r="AB95" s="59" t="s">
        <v>72</v>
      </c>
      <c r="AC95" s="59"/>
      <c r="AD95" s="85">
        <v>46043.0</v>
      </c>
      <c r="AE95" s="114">
        <f t="shared" si="5"/>
        <v>1</v>
      </c>
    </row>
    <row r="96" ht="15.75" customHeight="1">
      <c r="A96" s="92"/>
      <c r="B96" s="92" t="s">
        <v>101</v>
      </c>
      <c r="C96" s="80" t="s">
        <v>468</v>
      </c>
      <c r="D96" s="116" t="s">
        <v>51</v>
      </c>
      <c r="E96" s="116">
        <v>4.0</v>
      </c>
      <c r="F96" s="117">
        <v>146400.0</v>
      </c>
      <c r="G96" s="90" t="s">
        <v>53</v>
      </c>
      <c r="H96" s="118">
        <v>46266.0</v>
      </c>
      <c r="I96" s="92" t="s">
        <v>18</v>
      </c>
      <c r="J96" s="92" t="s">
        <v>54</v>
      </c>
      <c r="K96" s="92" t="s">
        <v>83</v>
      </c>
      <c r="L96" s="92" t="s">
        <v>56</v>
      </c>
      <c r="M96" s="92" t="s">
        <v>84</v>
      </c>
      <c r="N96" s="92" t="s">
        <v>20</v>
      </c>
      <c r="O96" s="87" t="s">
        <v>59</v>
      </c>
      <c r="P96" s="87"/>
      <c r="Q96" s="87" t="s">
        <v>441</v>
      </c>
      <c r="R96" s="92" t="s">
        <v>442</v>
      </c>
      <c r="S96" s="87"/>
      <c r="T96" s="87"/>
      <c r="U96" s="94" t="str">
        <f t="array" ref="U96">IFERROR(INDEX(DFD!$D$2:$D$1048791,MATCH($Q96,DFD!$B$2:$B$1048791,0)),"")</f>
        <v/>
      </c>
      <c r="V96" s="94" t="str">
        <f t="array" ref="V96">IFERROR(INDEX(DFD!$F$2:$F$1048791,MATCH($Q96,DFD!$B$2:$B$1048791,0)),"")</f>
        <v/>
      </c>
      <c r="W96" s="97" t="str">
        <f t="array" ref="W96">IFERROR(INDEX(DFD!$E$2:$E$1048791,MATCH($Q96,DFD!$B$2:$B$1048791,0)),"")</f>
        <v/>
      </c>
      <c r="X96" s="97" t="str">
        <f t="array" ref="X96">IFERROR(INDEX(DFD!$K$2:$K$1048791,MATCH($Q96,DFD!$B$2:$B$1048791,0)),"")</f>
        <v/>
      </c>
      <c r="Y96" s="97" t="str">
        <f t="array" ref="Y96">IFERROR(INDEX(DFD!$L$2:$L$1048790,MATCH($Q96,DFD!$B$2:$B$1048790,0)),"")</f>
        <v/>
      </c>
      <c r="Z96" s="97">
        <f t="shared" si="4"/>
        <v>45</v>
      </c>
      <c r="AA96" s="87"/>
      <c r="AB96" s="87" t="s">
        <v>72</v>
      </c>
      <c r="AC96" s="87"/>
      <c r="AD96" s="99">
        <v>46043.0</v>
      </c>
      <c r="AE96" s="119">
        <f t="shared" si="5"/>
        <v>1</v>
      </c>
    </row>
    <row r="97" ht="15.75" customHeight="1">
      <c r="A97" s="67"/>
      <c r="B97" s="104" t="s">
        <v>386</v>
      </c>
      <c r="C97" s="80" t="s">
        <v>472</v>
      </c>
      <c r="D97" s="81" t="s">
        <v>51</v>
      </c>
      <c r="E97" s="81">
        <v>1.0</v>
      </c>
      <c r="F97" s="113">
        <v>50000.0</v>
      </c>
      <c r="G97" s="73" t="s">
        <v>53</v>
      </c>
      <c r="H97" s="83">
        <v>46266.0</v>
      </c>
      <c r="I97" s="67" t="s">
        <v>18</v>
      </c>
      <c r="J97" s="67" t="s">
        <v>54</v>
      </c>
      <c r="K97" s="67" t="s">
        <v>83</v>
      </c>
      <c r="L97" s="67" t="s">
        <v>67</v>
      </c>
      <c r="M97" s="67" t="s">
        <v>84</v>
      </c>
      <c r="N97" s="67" t="s">
        <v>20</v>
      </c>
      <c r="O97" s="59" t="s">
        <v>59</v>
      </c>
      <c r="P97" s="59"/>
      <c r="Q97" s="59" t="s">
        <v>473</v>
      </c>
      <c r="R97" s="67" t="s">
        <v>77</v>
      </c>
      <c r="S97" s="59"/>
      <c r="T97" s="59"/>
      <c r="U97" s="77" t="str">
        <f t="array" ref="U97">IFERROR(INDEX(DFD!$D$2:$D$1048791,MATCH($Q97,DFD!$B$2:$B$1048791,0)),"")</f>
        <v/>
      </c>
      <c r="V97" s="77" t="str">
        <f t="array" ref="V97">IFERROR(INDEX(DFD!$F$2:$F$1048791,MATCH($Q97,DFD!$B$2:$B$1048791,0)),"")</f>
        <v/>
      </c>
      <c r="W97" s="84" t="str">
        <f t="array" ref="W97">IFERROR(INDEX(DFD!$E$2:$E$1048791,MATCH($Q97,DFD!$B$2:$B$1048791,0)),"")</f>
        <v/>
      </c>
      <c r="X97" s="84" t="str">
        <f t="array" ref="X97">IFERROR(INDEX(DFD!$K$2:$K$1048791,MATCH($Q97,DFD!$B$2:$B$1048791,0)),"")</f>
        <v/>
      </c>
      <c r="Y97" s="84" t="str">
        <f t="array" ref="Y97">IFERROR(INDEX(DFD!$L$2:$L$1048790,MATCH($Q97,DFD!$B$2:$B$1048790,0)),"")</f>
        <v/>
      </c>
      <c r="Z97" s="84">
        <f t="shared" si="4"/>
        <v>45</v>
      </c>
      <c r="AA97" s="59"/>
      <c r="AB97" s="59" t="s">
        <v>72</v>
      </c>
      <c r="AC97" s="59"/>
      <c r="AD97" s="85">
        <v>46043.0</v>
      </c>
      <c r="AE97" s="114">
        <f t="shared" si="5"/>
        <v>1</v>
      </c>
    </row>
    <row r="98" ht="15.75" customHeight="1">
      <c r="A98" s="92"/>
      <c r="B98" s="92" t="s">
        <v>101</v>
      </c>
      <c r="C98" s="80" t="s">
        <v>472</v>
      </c>
      <c r="D98" s="116" t="s">
        <v>51</v>
      </c>
      <c r="E98" s="116">
        <v>1.0</v>
      </c>
      <c r="F98" s="117">
        <v>50000.0</v>
      </c>
      <c r="G98" s="90" t="s">
        <v>53</v>
      </c>
      <c r="H98" s="118">
        <v>46266.0</v>
      </c>
      <c r="I98" s="92" t="s">
        <v>18</v>
      </c>
      <c r="J98" s="92" t="s">
        <v>54</v>
      </c>
      <c r="K98" s="92" t="s">
        <v>83</v>
      </c>
      <c r="L98" s="92" t="s">
        <v>56</v>
      </c>
      <c r="M98" s="92" t="s">
        <v>84</v>
      </c>
      <c r="N98" s="92" t="s">
        <v>20</v>
      </c>
      <c r="O98" s="87" t="s">
        <v>59</v>
      </c>
      <c r="P98" s="87"/>
      <c r="Q98" s="87" t="s">
        <v>473</v>
      </c>
      <c r="R98" s="92" t="s">
        <v>77</v>
      </c>
      <c r="S98" s="87"/>
      <c r="T98" s="87"/>
      <c r="U98" s="122" t="str">
        <f t="array" ref="U98">IFERROR(INDEX(DFD!$D$2:$D$1048791,MATCH($Q98,DFD!$B$2:$B$1048791,0)),"")</f>
        <v/>
      </c>
      <c r="V98" s="94" t="str">
        <f t="array" ref="V98">IFERROR(INDEX(DFD!$F$2:$F$1048791,MATCH($Q98,DFD!$B$2:$B$1048791,0)),"")</f>
        <v/>
      </c>
      <c r="W98" s="97" t="str">
        <f t="array" ref="W98">IFERROR(INDEX(DFD!$E$2:$E$1048791,MATCH($Q98,DFD!$B$2:$B$1048791,0)),"")</f>
        <v/>
      </c>
      <c r="X98" s="97" t="str">
        <f t="array" ref="X98">IFERROR(INDEX(DFD!$K$2:$K$1048791,MATCH($Q98,DFD!$B$2:$B$1048791,0)),"")</f>
        <v/>
      </c>
      <c r="Y98" s="97" t="str">
        <f t="array" ref="Y98">IFERROR(INDEX(DFD!$L$2:$L$1048790,MATCH($Q98,DFD!$B$2:$B$1048790,0)),"")</f>
        <v/>
      </c>
      <c r="Z98" s="97">
        <f t="shared" si="4"/>
        <v>45</v>
      </c>
      <c r="AA98" s="87"/>
      <c r="AB98" s="87" t="s">
        <v>72</v>
      </c>
      <c r="AC98" s="87"/>
      <c r="AD98" s="99">
        <v>46043.0</v>
      </c>
      <c r="AE98" s="119">
        <f t="shared" si="5"/>
        <v>1</v>
      </c>
    </row>
    <row r="99" ht="15.75" customHeight="1">
      <c r="A99" s="67"/>
      <c r="B99" s="67" t="s">
        <v>355</v>
      </c>
      <c r="C99" s="80" t="s">
        <v>472</v>
      </c>
      <c r="D99" s="81" t="s">
        <v>51</v>
      </c>
      <c r="E99" s="81">
        <v>1.0</v>
      </c>
      <c r="F99" s="113">
        <v>50000.0</v>
      </c>
      <c r="G99" s="73" t="s">
        <v>53</v>
      </c>
      <c r="H99" s="83">
        <v>46266.0</v>
      </c>
      <c r="I99" s="67" t="s">
        <v>18</v>
      </c>
      <c r="J99" s="67" t="s">
        <v>54</v>
      </c>
      <c r="K99" s="67" t="s">
        <v>83</v>
      </c>
      <c r="L99" s="67" t="s">
        <v>56</v>
      </c>
      <c r="M99" s="67" t="s">
        <v>84</v>
      </c>
      <c r="N99" s="67" t="s">
        <v>20</v>
      </c>
      <c r="O99" s="59" t="s">
        <v>59</v>
      </c>
      <c r="P99" s="59"/>
      <c r="Q99" s="59" t="s">
        <v>473</v>
      </c>
      <c r="R99" s="67" t="s">
        <v>77</v>
      </c>
      <c r="S99" s="59"/>
      <c r="T99" s="59"/>
      <c r="U99" s="77" t="str">
        <f t="array" ref="U99">IFERROR(INDEX(DFD!$D$2:$D$1048791,MATCH($Q99,DFD!$B$2:$B$1048791,0)),"")</f>
        <v/>
      </c>
      <c r="V99" s="77" t="str">
        <f t="array" ref="V99">IFERROR(INDEX(DFD!$F$2:$F$1048791,MATCH($Q99,DFD!$B$2:$B$1048791,0)),"")</f>
        <v/>
      </c>
      <c r="W99" s="84" t="str">
        <f t="array" ref="W99">IFERROR(INDEX(DFD!$E$2:$E$1048791,MATCH($Q99,DFD!$B$2:$B$1048791,0)),"")</f>
        <v/>
      </c>
      <c r="X99" s="84" t="str">
        <f t="array" ref="X99">IFERROR(INDEX(DFD!$K$2:$K$1048791,MATCH($Q99,DFD!$B$2:$B$1048791,0)),"")</f>
        <v/>
      </c>
      <c r="Y99" s="84" t="str">
        <f t="array" ref="Y99">IFERROR(INDEX(DFD!$L$2:$L$1048790,MATCH($Q99,DFD!$B$2:$B$1048790,0)),"")</f>
        <v/>
      </c>
      <c r="Z99" s="84">
        <f t="shared" si="4"/>
        <v>45</v>
      </c>
      <c r="AA99" s="59"/>
      <c r="AB99" s="59" t="s">
        <v>72</v>
      </c>
      <c r="AC99" s="59"/>
      <c r="AD99" s="85">
        <v>46043.0</v>
      </c>
      <c r="AE99" s="114">
        <f t="shared" si="5"/>
        <v>1</v>
      </c>
    </row>
    <row r="100" ht="15.75" customHeight="1">
      <c r="A100" s="92"/>
      <c r="B100" s="92" t="s">
        <v>361</v>
      </c>
      <c r="C100" s="116" t="s">
        <v>481</v>
      </c>
      <c r="D100" s="116" t="s">
        <v>51</v>
      </c>
      <c r="E100" s="116">
        <v>5.0</v>
      </c>
      <c r="F100" s="117">
        <v>37500.0</v>
      </c>
      <c r="G100" s="90" t="s">
        <v>53</v>
      </c>
      <c r="H100" s="118">
        <v>46235.0</v>
      </c>
      <c r="I100" s="92" t="s">
        <v>18</v>
      </c>
      <c r="J100" s="92" t="s">
        <v>54</v>
      </c>
      <c r="K100" s="92" t="s">
        <v>83</v>
      </c>
      <c r="L100" s="92" t="s">
        <v>56</v>
      </c>
      <c r="M100" s="92" t="s">
        <v>84</v>
      </c>
      <c r="N100" s="92" t="s">
        <v>20</v>
      </c>
      <c r="O100" s="87" t="s">
        <v>59</v>
      </c>
      <c r="P100" s="87"/>
      <c r="Q100" s="87" t="s">
        <v>482</v>
      </c>
      <c r="R100" s="92" t="s">
        <v>442</v>
      </c>
      <c r="S100" s="87"/>
      <c r="T100" s="87"/>
      <c r="U100" s="94" t="str">
        <f t="array" ref="U100">IFERROR(INDEX(DFD!$D$2:$D$1048791,MATCH($Q100,DFD!$B$2:$B$1048791,0)),"")</f>
        <v/>
      </c>
      <c r="V100" s="94" t="str">
        <f t="array" ref="V100">IFERROR(INDEX(DFD!$F$2:$F$1048791,MATCH($Q100,DFD!$B$2:$B$1048791,0)),"")</f>
        <v/>
      </c>
      <c r="W100" s="97" t="str">
        <f t="array" ref="W100">IFERROR(INDEX(DFD!$E$2:$E$1048791,MATCH($Q100,DFD!$B$2:$B$1048791,0)),"")</f>
        <v/>
      </c>
      <c r="X100" s="97" t="str">
        <f t="array" ref="X100">IFERROR(INDEX(DFD!$K$2:$K$1048791,MATCH($Q100,DFD!$B$2:$B$1048791,0)),"")</f>
        <v/>
      </c>
      <c r="Y100" s="97" t="str">
        <f t="array" ref="Y100">IFERROR(INDEX(DFD!$L$2:$L$1048790,MATCH($Q100,DFD!$B$2:$B$1048790,0)),"")</f>
        <v/>
      </c>
      <c r="Z100" s="97">
        <f t="shared" si="4"/>
        <v>45</v>
      </c>
      <c r="AA100" s="87"/>
      <c r="AB100" s="87" t="s">
        <v>72</v>
      </c>
      <c r="AC100" s="87"/>
      <c r="AD100" s="99">
        <v>46043.0</v>
      </c>
      <c r="AE100" s="119">
        <f t="shared" si="5"/>
        <v>1</v>
      </c>
    </row>
    <row r="101" ht="15.75" customHeight="1">
      <c r="A101" s="67"/>
      <c r="B101" s="67" t="s">
        <v>361</v>
      </c>
      <c r="C101" s="81" t="s">
        <v>485</v>
      </c>
      <c r="D101" s="81" t="s">
        <v>51</v>
      </c>
      <c r="E101" s="81">
        <v>5.0</v>
      </c>
      <c r="F101" s="113">
        <v>5440.0</v>
      </c>
      <c r="G101" s="73" t="s">
        <v>53</v>
      </c>
      <c r="H101" s="83">
        <v>46204.0</v>
      </c>
      <c r="I101" s="67" t="s">
        <v>18</v>
      </c>
      <c r="J101" s="67" t="s">
        <v>54</v>
      </c>
      <c r="K101" s="67" t="s">
        <v>83</v>
      </c>
      <c r="L101" s="67" t="s">
        <v>56</v>
      </c>
      <c r="M101" s="67" t="s">
        <v>84</v>
      </c>
      <c r="N101" s="67" t="s">
        <v>20</v>
      </c>
      <c r="O101" s="59" t="s">
        <v>59</v>
      </c>
      <c r="P101" s="59"/>
      <c r="Q101" s="59" t="s">
        <v>486</v>
      </c>
      <c r="R101" s="67" t="s">
        <v>442</v>
      </c>
      <c r="S101" s="59"/>
      <c r="T101" s="59"/>
      <c r="U101" s="77" t="str">
        <f t="array" ref="U101">IFERROR(INDEX(DFD!$D$2:$D$1048791,MATCH($Q101,DFD!$B$2:$B$1048791,0)),"")</f>
        <v/>
      </c>
      <c r="V101" s="77" t="str">
        <f t="array" ref="V101">IFERROR(INDEX(DFD!$F$2:$F$1048791,MATCH($Q101,DFD!$B$2:$B$1048791,0)),"")</f>
        <v/>
      </c>
      <c r="W101" s="84" t="str">
        <f t="array" ref="W101">IFERROR(INDEX(DFD!$E$2:$E$1048791,MATCH($Q101,DFD!$B$2:$B$1048791,0)),"")</f>
        <v/>
      </c>
      <c r="X101" s="84" t="str">
        <f t="array" ref="X101">IFERROR(INDEX(DFD!$K$2:$K$1048791,MATCH($Q101,DFD!$B$2:$B$1048791,0)),"")</f>
        <v/>
      </c>
      <c r="Y101" s="84" t="str">
        <f t="array" ref="Y101">IFERROR(INDEX(DFD!$L$2:$L$1048790,MATCH($Q101,DFD!$B$2:$B$1048790,0)),"")</f>
        <v/>
      </c>
      <c r="Z101" s="84">
        <f t="shared" si="4"/>
        <v>45</v>
      </c>
      <c r="AA101" s="59"/>
      <c r="AB101" s="59" t="s">
        <v>72</v>
      </c>
      <c r="AC101" s="59"/>
      <c r="AD101" s="85">
        <v>46043.0</v>
      </c>
      <c r="AE101" s="114">
        <f t="shared" si="5"/>
        <v>1</v>
      </c>
    </row>
    <row r="102" ht="15.75" customHeight="1">
      <c r="A102" s="92"/>
      <c r="B102" s="92" t="s">
        <v>361</v>
      </c>
      <c r="C102" s="116" t="s">
        <v>488</v>
      </c>
      <c r="D102" s="116" t="s">
        <v>51</v>
      </c>
      <c r="E102" s="116">
        <v>3.0</v>
      </c>
      <c r="F102" s="117">
        <v>30000.0</v>
      </c>
      <c r="G102" s="90" t="s">
        <v>53</v>
      </c>
      <c r="H102" s="118">
        <v>46235.0</v>
      </c>
      <c r="I102" s="92" t="s">
        <v>18</v>
      </c>
      <c r="J102" s="92" t="s">
        <v>54</v>
      </c>
      <c r="K102" s="92" t="s">
        <v>83</v>
      </c>
      <c r="L102" s="92" t="s">
        <v>197</v>
      </c>
      <c r="M102" s="92" t="s">
        <v>84</v>
      </c>
      <c r="N102" s="92" t="s">
        <v>20</v>
      </c>
      <c r="O102" s="87" t="s">
        <v>59</v>
      </c>
      <c r="P102" s="87"/>
      <c r="Q102" s="87" t="s">
        <v>486</v>
      </c>
      <c r="R102" s="92" t="s">
        <v>442</v>
      </c>
      <c r="S102" s="87"/>
      <c r="T102" s="87"/>
      <c r="U102" s="94" t="str">
        <f t="array" ref="U102">IFERROR(INDEX(DFD!$D$2:$D$1048791,MATCH($Q102,DFD!$B$2:$B$1048791,0)),"")</f>
        <v/>
      </c>
      <c r="V102" s="94" t="str">
        <f t="array" ref="V102">IFERROR(INDEX(DFD!$F$2:$F$1048791,MATCH($Q102,DFD!$B$2:$B$1048791,0)),"")</f>
        <v/>
      </c>
      <c r="W102" s="97" t="str">
        <f t="array" ref="W102">IFERROR(INDEX(DFD!$E$2:$E$1048791,MATCH($Q102,DFD!$B$2:$B$1048791,0)),"")</f>
        <v/>
      </c>
      <c r="X102" s="97" t="str">
        <f t="array" ref="X102">IFERROR(INDEX(DFD!$K$2:$K$1048791,MATCH($Q102,DFD!$B$2:$B$1048791,0)),"")</f>
        <v/>
      </c>
      <c r="Y102" s="97" t="str">
        <f t="array" ref="Y102">IFERROR(INDEX(DFD!$L$2:$L$1048790,MATCH($Q102,DFD!$B$2:$B$1048790,0)),"")</f>
        <v/>
      </c>
      <c r="Z102" s="97">
        <f t="shared" si="4"/>
        <v>45</v>
      </c>
      <c r="AA102" s="87"/>
      <c r="AB102" s="87" t="s">
        <v>72</v>
      </c>
      <c r="AC102" s="87"/>
      <c r="AD102" s="99">
        <v>46043.0</v>
      </c>
      <c r="AE102" s="119">
        <f t="shared" si="5"/>
        <v>1</v>
      </c>
    </row>
    <row r="103" ht="15.75" customHeight="1">
      <c r="A103" s="59"/>
      <c r="B103" s="59" t="s">
        <v>361</v>
      </c>
      <c r="C103" s="60" t="s">
        <v>492</v>
      </c>
      <c r="D103" s="60" t="s">
        <v>51</v>
      </c>
      <c r="E103" s="60">
        <v>5.0</v>
      </c>
      <c r="F103" s="138">
        <v>14400.0</v>
      </c>
      <c r="G103" s="73" t="s">
        <v>53</v>
      </c>
      <c r="H103" s="74">
        <v>46235.0</v>
      </c>
      <c r="I103" s="67" t="s">
        <v>17</v>
      </c>
      <c r="J103" s="67" t="s">
        <v>54</v>
      </c>
      <c r="K103" s="67" t="s">
        <v>66</v>
      </c>
      <c r="L103" s="67" t="s">
        <v>56</v>
      </c>
      <c r="M103" s="67" t="s">
        <v>132</v>
      </c>
      <c r="N103" s="59" t="s">
        <v>20</v>
      </c>
      <c r="O103" s="59" t="s">
        <v>59</v>
      </c>
      <c r="P103" s="59"/>
      <c r="Q103" s="59" t="s">
        <v>486</v>
      </c>
      <c r="R103" s="67" t="s">
        <v>71</v>
      </c>
      <c r="S103" s="59"/>
      <c r="T103" s="59"/>
      <c r="U103" s="77" t="str">
        <f t="array" ref="U103">IFERROR(INDEX(DFD!$D$2:$D$1048791,MATCH($Q103,DFD!$B$2:$B$1048791,0)),"")</f>
        <v/>
      </c>
      <c r="V103" s="77" t="str">
        <f t="array" ref="V103">IFERROR(INDEX(DFD!$F$2:$F$1048791,MATCH($Q103,DFD!$B$2:$B$1048791,0)),"")</f>
        <v/>
      </c>
      <c r="W103" s="84" t="str">
        <f t="array" ref="W103">IFERROR(INDEX(DFD!$E$2:$E$1048791,MATCH($Q103,DFD!$B$2:$B$1048791,0)),"")</f>
        <v/>
      </c>
      <c r="X103" s="84" t="str">
        <f t="array" ref="X103">IFERROR(INDEX(DFD!$K$2:$K$1048791,MATCH($Q103,DFD!$B$2:$B$1048791,0)),"")</f>
        <v/>
      </c>
      <c r="Y103" s="84" t="str">
        <f t="array" ref="Y103">IFERROR(INDEX(DFD!$L$2:$L$1048790,MATCH($Q103,DFD!$B$2:$B$1048790,0)),"")</f>
        <v/>
      </c>
      <c r="Z103" s="84">
        <f t="shared" si="4"/>
        <v>45</v>
      </c>
      <c r="AA103" s="59"/>
      <c r="AB103" s="59" t="s">
        <v>72</v>
      </c>
      <c r="AC103" s="59"/>
      <c r="AD103" s="85">
        <v>46043.0</v>
      </c>
      <c r="AE103" s="114">
        <f t="shared" si="5"/>
        <v>1</v>
      </c>
    </row>
    <row r="104" ht="15.75" customHeight="1">
      <c r="A104" s="87"/>
      <c r="B104" s="87" t="s">
        <v>361</v>
      </c>
      <c r="C104" s="88" t="s">
        <v>494</v>
      </c>
      <c r="D104" s="88" t="s">
        <v>51</v>
      </c>
      <c r="E104" s="88">
        <v>5.0</v>
      </c>
      <c r="F104" s="139">
        <v>555.0</v>
      </c>
      <c r="G104" s="90" t="s">
        <v>53</v>
      </c>
      <c r="H104" s="91">
        <v>46174.0</v>
      </c>
      <c r="I104" s="92" t="s">
        <v>17</v>
      </c>
      <c r="J104" s="92" t="s">
        <v>54</v>
      </c>
      <c r="K104" s="92" t="s">
        <v>66</v>
      </c>
      <c r="L104" s="92" t="s">
        <v>56</v>
      </c>
      <c r="M104" s="92" t="s">
        <v>132</v>
      </c>
      <c r="N104" s="87" t="s">
        <v>20</v>
      </c>
      <c r="O104" s="87" t="s">
        <v>59</v>
      </c>
      <c r="P104" s="87"/>
      <c r="Q104" s="87" t="s">
        <v>497</v>
      </c>
      <c r="R104" s="92" t="s">
        <v>71</v>
      </c>
      <c r="S104" s="87"/>
      <c r="T104" s="87"/>
      <c r="U104" s="94" t="str">
        <f t="array" ref="U104">IFERROR(INDEX(DFD!$D$2:$D$1048791,MATCH($Q104,DFD!$B$2:$B$1048791,0)),"")</f>
        <v/>
      </c>
      <c r="V104" s="94" t="str">
        <f t="array" ref="V104">IFERROR(INDEX(DFD!$F$2:$F$1048791,MATCH($Q104,DFD!$B$2:$B$1048791,0)),"")</f>
        <v/>
      </c>
      <c r="W104" s="97" t="str">
        <f t="array" ref="W104">IFERROR(INDEX(DFD!$E$2:$E$1048791,MATCH($Q104,DFD!$B$2:$B$1048791,0)),"")</f>
        <v/>
      </c>
      <c r="X104" s="97" t="str">
        <f t="array" ref="X104">IFERROR(INDEX(DFD!$K$2:$K$1048791,MATCH($Q104,DFD!$B$2:$B$1048791,0)),"")</f>
        <v/>
      </c>
      <c r="Y104" s="97" t="str">
        <f t="array" ref="Y104">IFERROR(INDEX(DFD!$L$2:$L$1048790,MATCH($Q104,DFD!$B$2:$B$1048790,0)),"")</f>
        <v/>
      </c>
      <c r="Z104" s="97">
        <f t="shared" si="4"/>
        <v>45</v>
      </c>
      <c r="AA104" s="87"/>
      <c r="AB104" s="87" t="s">
        <v>72</v>
      </c>
      <c r="AC104" s="87"/>
      <c r="AD104" s="99">
        <v>46043.0</v>
      </c>
      <c r="AE104" s="119">
        <f t="shared" si="5"/>
        <v>1</v>
      </c>
    </row>
    <row r="105" ht="15.75" customHeight="1">
      <c r="A105" s="59"/>
      <c r="B105" s="59" t="s">
        <v>361</v>
      </c>
      <c r="C105" s="60" t="s">
        <v>498</v>
      </c>
      <c r="D105" s="60" t="s">
        <v>51</v>
      </c>
      <c r="E105" s="60">
        <v>5.0</v>
      </c>
      <c r="F105" s="138">
        <v>585.0</v>
      </c>
      <c r="G105" s="73" t="s">
        <v>53</v>
      </c>
      <c r="H105" s="74">
        <v>46174.0</v>
      </c>
      <c r="I105" s="67" t="s">
        <v>17</v>
      </c>
      <c r="J105" s="67" t="s">
        <v>54</v>
      </c>
      <c r="K105" s="67" t="s">
        <v>499</v>
      </c>
      <c r="L105" s="67" t="s">
        <v>56</v>
      </c>
      <c r="M105" s="67" t="s">
        <v>500</v>
      </c>
      <c r="N105" s="59" t="s">
        <v>20</v>
      </c>
      <c r="O105" s="59" t="s">
        <v>59</v>
      </c>
      <c r="P105" s="59"/>
      <c r="Q105" s="59" t="s">
        <v>497</v>
      </c>
      <c r="R105" s="67" t="s">
        <v>71</v>
      </c>
      <c r="S105" s="59"/>
      <c r="T105" s="59"/>
      <c r="U105" s="77" t="str">
        <f t="array" ref="U105">IFERROR(INDEX(DFD!$D$2:$D$1048791,MATCH($Q105,DFD!$B$2:$B$1048791,0)),"")</f>
        <v/>
      </c>
      <c r="V105" s="77" t="str">
        <f t="array" ref="V105">IFERROR(INDEX(DFD!$F$2:$F$1048791,MATCH($Q105,DFD!$B$2:$B$1048791,0)),"")</f>
        <v/>
      </c>
      <c r="W105" s="84" t="str">
        <f t="array" ref="W105">IFERROR(INDEX(DFD!$E$2:$E$1048791,MATCH($Q105,DFD!$B$2:$B$1048791,0)),"")</f>
        <v/>
      </c>
      <c r="X105" s="84" t="str">
        <f t="array" ref="X105">IFERROR(INDEX(DFD!$K$2:$K$1048791,MATCH($Q105,DFD!$B$2:$B$1048791,0)),"")</f>
        <v/>
      </c>
      <c r="Y105" s="84" t="str">
        <f t="array" ref="Y105">IFERROR(INDEX(DFD!$L$2:$L$1048790,MATCH($Q105,DFD!$B$2:$B$1048790,0)),"")</f>
        <v/>
      </c>
      <c r="Z105" s="84">
        <f t="shared" si="4"/>
        <v>45</v>
      </c>
      <c r="AA105" s="59"/>
      <c r="AB105" s="59" t="s">
        <v>72</v>
      </c>
      <c r="AC105" s="59"/>
      <c r="AD105" s="85">
        <v>46043.0</v>
      </c>
      <c r="AE105" s="114">
        <f t="shared" si="5"/>
        <v>1</v>
      </c>
    </row>
    <row r="106" ht="15.75" customHeight="1">
      <c r="A106" s="87"/>
      <c r="B106" s="87" t="s">
        <v>361</v>
      </c>
      <c r="C106" s="88" t="s">
        <v>504</v>
      </c>
      <c r="D106" s="88" t="s">
        <v>51</v>
      </c>
      <c r="E106" s="88">
        <v>5.0</v>
      </c>
      <c r="F106" s="139">
        <v>475.0</v>
      </c>
      <c r="G106" s="90" t="s">
        <v>53</v>
      </c>
      <c r="H106" s="91">
        <v>46174.0</v>
      </c>
      <c r="I106" s="92" t="s">
        <v>17</v>
      </c>
      <c r="J106" s="92" t="s">
        <v>54</v>
      </c>
      <c r="K106" s="92" t="s">
        <v>66</v>
      </c>
      <c r="L106" s="92" t="s">
        <v>56</v>
      </c>
      <c r="M106" s="92" t="s">
        <v>57</v>
      </c>
      <c r="N106" s="87" t="s">
        <v>20</v>
      </c>
      <c r="O106" s="87" t="s">
        <v>59</v>
      </c>
      <c r="P106" s="87"/>
      <c r="Q106" s="87" t="s">
        <v>497</v>
      </c>
      <c r="R106" s="92" t="s">
        <v>71</v>
      </c>
      <c r="S106" s="87"/>
      <c r="T106" s="87"/>
      <c r="U106" s="94" t="str">
        <f t="array" ref="U106">IFERROR(INDEX(DFD!$D$2:$D$1048791,MATCH($Q106,DFD!$B$2:$B$1048791,0)),"")</f>
        <v/>
      </c>
      <c r="V106" s="94" t="str">
        <f t="array" ref="V106">IFERROR(INDEX(DFD!$F$2:$F$1048791,MATCH($Q106,DFD!$B$2:$B$1048791,0)),"")</f>
        <v/>
      </c>
      <c r="W106" s="97" t="str">
        <f t="array" ref="W106">IFERROR(INDEX(DFD!$E$2:$E$1048791,MATCH($Q106,DFD!$B$2:$B$1048791,0)),"")</f>
        <v/>
      </c>
      <c r="X106" s="97" t="str">
        <f t="array" ref="X106">IFERROR(INDEX(DFD!$K$2:$K$1048791,MATCH($Q106,DFD!$B$2:$B$1048791,0)),"")</f>
        <v/>
      </c>
      <c r="Y106" s="97" t="str">
        <f t="array" ref="Y106">IFERROR(INDEX(DFD!$L$2:$L$1048790,MATCH($Q106,DFD!$B$2:$B$1048790,0)),"")</f>
        <v/>
      </c>
      <c r="Z106" s="97">
        <f t="shared" si="4"/>
        <v>45</v>
      </c>
      <c r="AA106" s="87"/>
      <c r="AB106" s="87" t="s">
        <v>72</v>
      </c>
      <c r="AC106" s="87"/>
      <c r="AD106" s="99">
        <v>46043.0</v>
      </c>
      <c r="AE106" s="119">
        <f t="shared" si="5"/>
        <v>1</v>
      </c>
    </row>
    <row r="107" ht="15.75" customHeight="1">
      <c r="A107" s="59"/>
      <c r="B107" s="59" t="s">
        <v>361</v>
      </c>
      <c r="C107" s="60" t="s">
        <v>507</v>
      </c>
      <c r="D107" s="60" t="s">
        <v>51</v>
      </c>
      <c r="E107" s="60">
        <v>300.0</v>
      </c>
      <c r="F107" s="138">
        <v>600.0</v>
      </c>
      <c r="G107" s="73" t="s">
        <v>53</v>
      </c>
      <c r="H107" s="74">
        <v>46174.0</v>
      </c>
      <c r="I107" s="67" t="s">
        <v>17</v>
      </c>
      <c r="J107" s="67" t="s">
        <v>54</v>
      </c>
      <c r="K107" s="67" t="s">
        <v>66</v>
      </c>
      <c r="L107" s="67" t="s">
        <v>56</v>
      </c>
      <c r="M107" s="67" t="s">
        <v>448</v>
      </c>
      <c r="N107" s="59" t="s">
        <v>20</v>
      </c>
      <c r="O107" s="59" t="s">
        <v>59</v>
      </c>
      <c r="P107" s="59"/>
      <c r="Q107" s="59" t="s">
        <v>508</v>
      </c>
      <c r="R107" s="67" t="s">
        <v>71</v>
      </c>
      <c r="S107" s="59"/>
      <c r="T107" s="59"/>
      <c r="U107" s="77" t="str">
        <f t="array" ref="U107">IFERROR(INDEX(DFD!$D$2:$D$1048791,MATCH($Q107,DFD!$B$2:$B$1048791,0)),"")</f>
        <v/>
      </c>
      <c r="V107" s="77" t="str">
        <f t="array" ref="V107">IFERROR(INDEX(DFD!$F$2:$F$1048791,MATCH($Q107,DFD!$B$2:$B$1048791,0)),"")</f>
        <v/>
      </c>
      <c r="W107" s="84" t="str">
        <f t="array" ref="W107">IFERROR(INDEX(DFD!$E$2:$E$1048791,MATCH($Q107,DFD!$B$2:$B$1048791,0)),"")</f>
        <v/>
      </c>
      <c r="X107" s="84" t="str">
        <f t="array" ref="X107">IFERROR(INDEX(DFD!$K$2:$K$1048791,MATCH($Q107,DFD!$B$2:$B$1048791,0)),"")</f>
        <v/>
      </c>
      <c r="Y107" s="84" t="str">
        <f t="array" ref="Y107">IFERROR(INDEX(DFD!$L$2:$L$1048790,MATCH($Q107,DFD!$B$2:$B$1048790,0)),"")</f>
        <v/>
      </c>
      <c r="Z107" s="84">
        <f t="shared" si="4"/>
        <v>45</v>
      </c>
      <c r="AA107" s="59"/>
      <c r="AB107" s="59" t="s">
        <v>72</v>
      </c>
      <c r="AC107" s="59"/>
      <c r="AD107" s="85">
        <v>46043.0</v>
      </c>
      <c r="AE107" s="114">
        <f t="shared" si="5"/>
        <v>1</v>
      </c>
    </row>
    <row r="108" ht="15.75" customHeight="1">
      <c r="A108" s="87"/>
      <c r="B108" s="87" t="s">
        <v>361</v>
      </c>
      <c r="C108" s="88" t="s">
        <v>511</v>
      </c>
      <c r="D108" s="88" t="s">
        <v>51</v>
      </c>
      <c r="E108" s="88">
        <v>13.0</v>
      </c>
      <c r="F108" s="139">
        <v>23400.0</v>
      </c>
      <c r="G108" s="90" t="s">
        <v>53</v>
      </c>
      <c r="H108" s="91">
        <v>46235.0</v>
      </c>
      <c r="I108" s="92" t="s">
        <v>17</v>
      </c>
      <c r="J108" s="92" t="s">
        <v>54</v>
      </c>
      <c r="K108" s="92" t="s">
        <v>66</v>
      </c>
      <c r="L108" s="92" t="s">
        <v>56</v>
      </c>
      <c r="M108" s="92" t="s">
        <v>448</v>
      </c>
      <c r="N108" s="87" t="s">
        <v>20</v>
      </c>
      <c r="O108" s="87" t="s">
        <v>59</v>
      </c>
      <c r="P108" s="87"/>
      <c r="Q108" s="87" t="s">
        <v>508</v>
      </c>
      <c r="R108" s="92" t="s">
        <v>71</v>
      </c>
      <c r="S108" s="87"/>
      <c r="T108" s="87"/>
      <c r="U108" s="94" t="str">
        <f t="array" ref="U108">IFERROR(INDEX(DFD!$D$2:$D$1048791,MATCH($Q108,DFD!$B$2:$B$1048791,0)),"")</f>
        <v/>
      </c>
      <c r="V108" s="94" t="str">
        <f t="array" ref="V108">IFERROR(INDEX(DFD!$F$2:$F$1048791,MATCH($Q108,DFD!$B$2:$B$1048791,0)),"")</f>
        <v/>
      </c>
      <c r="W108" s="97" t="str">
        <f t="array" ref="W108">IFERROR(INDEX(DFD!$E$2:$E$1048791,MATCH($Q108,DFD!$B$2:$B$1048791,0)),"")</f>
        <v/>
      </c>
      <c r="X108" s="97" t="str">
        <f t="array" ref="X108">IFERROR(INDEX(DFD!$K$2:$K$1048791,MATCH($Q108,DFD!$B$2:$B$1048791,0)),"")</f>
        <v/>
      </c>
      <c r="Y108" s="97" t="str">
        <f t="array" ref="Y108">IFERROR(INDEX(DFD!$L$2:$L$1048790,MATCH($Q108,DFD!$B$2:$B$1048790,0)),"")</f>
        <v/>
      </c>
      <c r="Z108" s="97">
        <f t="shared" si="4"/>
        <v>45</v>
      </c>
      <c r="AA108" s="87"/>
      <c r="AB108" s="87" t="s">
        <v>72</v>
      </c>
      <c r="AC108" s="87"/>
      <c r="AD108" s="99">
        <v>46043.0</v>
      </c>
      <c r="AE108" s="119">
        <f t="shared" si="5"/>
        <v>1</v>
      </c>
    </row>
    <row r="109" ht="15.75" customHeight="1">
      <c r="A109" s="59"/>
      <c r="B109" s="59" t="s">
        <v>361</v>
      </c>
      <c r="C109" s="60" t="s">
        <v>514</v>
      </c>
      <c r="D109" s="60" t="s">
        <v>51</v>
      </c>
      <c r="E109" s="60">
        <v>1.0</v>
      </c>
      <c r="F109" s="138">
        <v>5000.0</v>
      </c>
      <c r="G109" s="73" t="s">
        <v>53</v>
      </c>
      <c r="H109" s="74">
        <v>46204.0</v>
      </c>
      <c r="I109" s="67" t="s">
        <v>17</v>
      </c>
      <c r="J109" s="67" t="s">
        <v>54</v>
      </c>
      <c r="K109" s="67" t="s">
        <v>55</v>
      </c>
      <c r="L109" s="67" t="s">
        <v>56</v>
      </c>
      <c r="M109" s="67" t="s">
        <v>515</v>
      </c>
      <c r="N109" s="59" t="s">
        <v>20</v>
      </c>
      <c r="O109" s="59" t="s">
        <v>59</v>
      </c>
      <c r="P109" s="59"/>
      <c r="Q109" s="59" t="s">
        <v>508</v>
      </c>
      <c r="R109" s="67" t="s">
        <v>503</v>
      </c>
      <c r="S109" s="59"/>
      <c r="T109" s="59"/>
      <c r="U109" s="77" t="str">
        <f t="array" ref="U109">IFERROR(INDEX(DFD!$D$2:$D$1048791,MATCH($Q109,DFD!$B$2:$B$1048791,0)),"")</f>
        <v/>
      </c>
      <c r="V109" s="77" t="str">
        <f t="array" ref="V109">IFERROR(INDEX(DFD!$F$2:$F$1048791,MATCH($Q109,DFD!$B$2:$B$1048791,0)),"")</f>
        <v/>
      </c>
      <c r="W109" s="84" t="str">
        <f t="array" ref="W109">IFERROR(INDEX(DFD!$E$2:$E$1048791,MATCH($Q109,DFD!$B$2:$B$1048791,0)),"")</f>
        <v/>
      </c>
      <c r="X109" s="84" t="str">
        <f t="array" ref="X109">IFERROR(INDEX(DFD!$K$2:$K$1048791,MATCH($Q109,DFD!$B$2:$B$1048791,0)),"")</f>
        <v/>
      </c>
      <c r="Y109" s="84" t="str">
        <f t="array" ref="Y109">IFERROR(INDEX(DFD!$L$2:$L$1048790,MATCH($Q109,DFD!$B$2:$B$1048790,0)),"")</f>
        <v/>
      </c>
      <c r="Z109" s="84">
        <f t="shared" si="4"/>
        <v>45</v>
      </c>
      <c r="AA109" s="59"/>
      <c r="AB109" s="59" t="s">
        <v>72</v>
      </c>
      <c r="AC109" s="59"/>
      <c r="AD109" s="85">
        <v>46043.0</v>
      </c>
      <c r="AE109" s="114">
        <f t="shared" si="5"/>
        <v>1</v>
      </c>
    </row>
    <row r="110" ht="15.75" customHeight="1">
      <c r="A110" s="87"/>
      <c r="B110" s="87" t="s">
        <v>361</v>
      </c>
      <c r="C110" s="88" t="s">
        <v>518</v>
      </c>
      <c r="D110" s="88" t="s">
        <v>51</v>
      </c>
      <c r="E110" s="88">
        <v>2.0</v>
      </c>
      <c r="F110" s="89">
        <v>100.0</v>
      </c>
      <c r="G110" s="90" t="s">
        <v>53</v>
      </c>
      <c r="H110" s="91">
        <v>46143.0</v>
      </c>
      <c r="I110" s="92" t="s">
        <v>17</v>
      </c>
      <c r="J110" s="92" t="s">
        <v>54</v>
      </c>
      <c r="K110" s="92" t="s">
        <v>66</v>
      </c>
      <c r="L110" s="92" t="s">
        <v>56</v>
      </c>
      <c r="M110" s="92" t="s">
        <v>75</v>
      </c>
      <c r="N110" s="87" t="s">
        <v>20</v>
      </c>
      <c r="O110" s="87" t="s">
        <v>59</v>
      </c>
      <c r="P110" s="87"/>
      <c r="Q110" s="87" t="s">
        <v>508</v>
      </c>
      <c r="R110" s="92" t="s">
        <v>114</v>
      </c>
      <c r="S110" s="87"/>
      <c r="T110" s="87"/>
      <c r="U110" s="94" t="str">
        <f t="array" ref="U110">IFERROR(INDEX(DFD!$D$2:$D$1048791,MATCH($Q110,DFD!$B$2:$B$1048791,0)),"")</f>
        <v/>
      </c>
      <c r="V110" s="94" t="str">
        <f t="array" ref="V110">IFERROR(INDEX(DFD!$F$2:$F$1048791,MATCH($Q110,DFD!$B$2:$B$1048791,0)),"")</f>
        <v/>
      </c>
      <c r="W110" s="97" t="str">
        <f t="array" ref="W110">IFERROR(INDEX(DFD!$E$2:$E$1048791,MATCH($Q110,DFD!$B$2:$B$1048791,0)),"")</f>
        <v/>
      </c>
      <c r="X110" s="97" t="str">
        <f t="array" ref="X110">IFERROR(INDEX(DFD!$K$2:$K$1048791,MATCH($Q110,DFD!$B$2:$B$1048791,0)),"")</f>
        <v/>
      </c>
      <c r="Y110" s="97" t="str">
        <f t="array" ref="Y110">IFERROR(INDEX(DFD!$L$2:$L$1048790,MATCH($Q110,DFD!$B$2:$B$1048790,0)),"")</f>
        <v/>
      </c>
      <c r="Z110" s="97">
        <f t="shared" si="4"/>
        <v>45</v>
      </c>
      <c r="AA110" s="87"/>
      <c r="AB110" s="87" t="s">
        <v>72</v>
      </c>
      <c r="AC110" s="87"/>
      <c r="AD110" s="99">
        <v>46043.0</v>
      </c>
      <c r="AE110" s="119">
        <f t="shared" si="5"/>
        <v>1</v>
      </c>
    </row>
    <row r="111" ht="15.75" customHeight="1">
      <c r="A111" s="67"/>
      <c r="B111" s="67" t="s">
        <v>361</v>
      </c>
      <c r="C111" s="81" t="s">
        <v>522</v>
      </c>
      <c r="D111" s="81" t="s">
        <v>51</v>
      </c>
      <c r="E111" s="81">
        <v>2.0</v>
      </c>
      <c r="F111" s="113">
        <v>60000.0</v>
      </c>
      <c r="G111" s="73" t="s">
        <v>53</v>
      </c>
      <c r="H111" s="83">
        <v>46266.0</v>
      </c>
      <c r="I111" s="67" t="s">
        <v>18</v>
      </c>
      <c r="J111" s="67" t="s">
        <v>54</v>
      </c>
      <c r="K111" s="67" t="s">
        <v>83</v>
      </c>
      <c r="L111" s="67" t="s">
        <v>67</v>
      </c>
      <c r="M111" s="67" t="s">
        <v>84</v>
      </c>
      <c r="N111" s="67" t="s">
        <v>20</v>
      </c>
      <c r="O111" s="59" t="s">
        <v>59</v>
      </c>
      <c r="P111" s="59"/>
      <c r="Q111" s="59" t="s">
        <v>523</v>
      </c>
      <c r="R111" s="67" t="s">
        <v>442</v>
      </c>
      <c r="S111" s="59"/>
      <c r="T111" s="59"/>
      <c r="U111" s="77" t="str">
        <f t="array" ref="U111">IFERROR(INDEX(DFD!$D$2:$D$1048791,MATCH($Q111,DFD!$B$2:$B$1048791,0)),"")</f>
        <v/>
      </c>
      <c r="V111" s="77" t="str">
        <f t="array" ref="V111">IFERROR(INDEX(DFD!$F$2:$F$1048791,MATCH($Q111,DFD!$B$2:$B$1048791,0)),"")</f>
        <v/>
      </c>
      <c r="W111" s="84" t="str">
        <f t="array" ref="W111">IFERROR(INDEX(DFD!$E$2:$E$1048791,MATCH($Q111,DFD!$B$2:$B$1048791,0)),"")</f>
        <v/>
      </c>
      <c r="X111" s="84" t="str">
        <f t="array" ref="X111">IFERROR(INDEX(DFD!$K$2:$K$1048791,MATCH($Q111,DFD!$B$2:$B$1048791,0)),"")</f>
        <v/>
      </c>
      <c r="Y111" s="84" t="str">
        <f t="array" ref="Y111">IFERROR(INDEX(DFD!$L$2:$L$1048790,MATCH($Q111,DFD!$B$2:$B$1048790,0)),"")</f>
        <v/>
      </c>
      <c r="Z111" s="84">
        <f t="shared" si="4"/>
        <v>45</v>
      </c>
      <c r="AA111" s="59"/>
      <c r="AB111" s="59" t="s">
        <v>72</v>
      </c>
      <c r="AC111" s="59"/>
      <c r="AD111" s="85">
        <v>46043.0</v>
      </c>
      <c r="AE111" s="114">
        <f t="shared" si="5"/>
        <v>1</v>
      </c>
    </row>
    <row r="112" ht="15.75" customHeight="1">
      <c r="A112" s="92"/>
      <c r="B112" s="92" t="s">
        <v>361</v>
      </c>
      <c r="C112" s="116" t="s">
        <v>525</v>
      </c>
      <c r="D112" s="116" t="s">
        <v>51</v>
      </c>
      <c r="E112" s="116">
        <v>3.0</v>
      </c>
      <c r="F112" s="117">
        <v>30000.0</v>
      </c>
      <c r="G112" s="90" t="s">
        <v>53</v>
      </c>
      <c r="H112" s="118">
        <v>46235.0</v>
      </c>
      <c r="I112" s="92" t="s">
        <v>18</v>
      </c>
      <c r="J112" s="92" t="s">
        <v>54</v>
      </c>
      <c r="K112" s="92" t="s">
        <v>83</v>
      </c>
      <c r="L112" s="92" t="s">
        <v>56</v>
      </c>
      <c r="M112" s="92" t="s">
        <v>84</v>
      </c>
      <c r="N112" s="92" t="s">
        <v>20</v>
      </c>
      <c r="O112" s="87" t="s">
        <v>59</v>
      </c>
      <c r="P112" s="87"/>
      <c r="Q112" s="87" t="s">
        <v>523</v>
      </c>
      <c r="R112" s="92" t="s">
        <v>442</v>
      </c>
      <c r="S112" s="87"/>
      <c r="T112" s="87"/>
      <c r="U112" s="94" t="str">
        <f t="array" ref="U112">IFERROR(INDEX(DFD!$D$2:$D$1048791,MATCH($Q112,DFD!$B$2:$B$1048791,0)),"")</f>
        <v/>
      </c>
      <c r="V112" s="94" t="str">
        <f t="array" ref="V112">IFERROR(INDEX(DFD!$F$2:$F$1048791,MATCH($Q112,DFD!$B$2:$B$1048791,0)),"")</f>
        <v/>
      </c>
      <c r="W112" s="97" t="str">
        <f t="array" ref="W112">IFERROR(INDEX(DFD!$E$2:$E$1048791,MATCH($Q112,DFD!$B$2:$B$1048791,0)),"")</f>
        <v/>
      </c>
      <c r="X112" s="97" t="str">
        <f t="array" ref="X112">IFERROR(INDEX(DFD!$K$2:$K$1048791,MATCH($Q112,DFD!$B$2:$B$1048791,0)),"")</f>
        <v/>
      </c>
      <c r="Y112" s="97" t="str">
        <f t="array" ref="Y112">IFERROR(INDEX(DFD!$L$2:$L$1048790,MATCH($Q112,DFD!$B$2:$B$1048790,0)),"")</f>
        <v/>
      </c>
      <c r="Z112" s="97">
        <f t="shared" si="4"/>
        <v>45</v>
      </c>
      <c r="AA112" s="87"/>
      <c r="AB112" s="87" t="s">
        <v>72</v>
      </c>
      <c r="AC112" s="87"/>
      <c r="AD112" s="99">
        <v>46043.0</v>
      </c>
      <c r="AE112" s="119">
        <f t="shared" si="5"/>
        <v>1</v>
      </c>
    </row>
    <row r="113" ht="15.75" customHeight="1">
      <c r="A113" s="59"/>
      <c r="B113" s="71" t="s">
        <v>101</v>
      </c>
      <c r="C113" s="60" t="s">
        <v>528</v>
      </c>
      <c r="D113" s="60" t="s">
        <v>529</v>
      </c>
      <c r="E113" s="60">
        <v>90.0</v>
      </c>
      <c r="F113" s="138">
        <v>68310.0</v>
      </c>
      <c r="G113" s="73" t="s">
        <v>53</v>
      </c>
      <c r="H113" s="74">
        <v>46266.0</v>
      </c>
      <c r="I113" s="67" t="s">
        <v>18</v>
      </c>
      <c r="J113" s="67" t="s">
        <v>54</v>
      </c>
      <c r="K113" s="67" t="s">
        <v>66</v>
      </c>
      <c r="L113" s="67" t="s">
        <v>56</v>
      </c>
      <c r="M113" s="67" t="s">
        <v>132</v>
      </c>
      <c r="N113" s="59" t="s">
        <v>20</v>
      </c>
      <c r="O113" s="59" t="s">
        <v>59</v>
      </c>
      <c r="P113" s="59"/>
      <c r="Q113" s="59" t="s">
        <v>530</v>
      </c>
      <c r="R113" s="67" t="s">
        <v>531</v>
      </c>
      <c r="S113" s="59"/>
      <c r="T113" s="59"/>
      <c r="U113" s="77" t="str">
        <f t="array" ref="U113">IFERROR(INDEX(DFD!$D$2:$D$1048791,MATCH($Q113,DFD!$B$2:$B$1048791,0)),"")</f>
        <v/>
      </c>
      <c r="V113" s="77" t="str">
        <f t="array" ref="V113">IFERROR(INDEX(DFD!$F$2:$F$1048791,MATCH($Q113,DFD!$B$2:$B$1048791,0)),"")</f>
        <v/>
      </c>
      <c r="W113" s="84" t="str">
        <f t="array" ref="W113">IFERROR(INDEX(DFD!$E$2:$E$1048791,MATCH($Q113,DFD!$B$2:$B$1048791,0)),"")</f>
        <v/>
      </c>
      <c r="X113" s="84" t="str">
        <f t="array" ref="X113">IFERROR(INDEX(DFD!$K$2:$K$1048791,MATCH($Q113,DFD!$B$2:$B$1048791,0)),"")</f>
        <v/>
      </c>
      <c r="Y113" s="84" t="str">
        <f t="array" ref="Y113">IFERROR(INDEX(DFD!$L$2:$L$1048790,MATCH($Q113,DFD!$B$2:$B$1048790,0)),"")</f>
        <v/>
      </c>
      <c r="Z113" s="84">
        <f t="shared" si="4"/>
        <v>45</v>
      </c>
      <c r="AA113" s="59"/>
      <c r="AB113" s="59" t="s">
        <v>72</v>
      </c>
      <c r="AC113" s="59"/>
      <c r="AD113" s="85">
        <v>46043.0</v>
      </c>
      <c r="AE113" s="114">
        <f t="shared" si="5"/>
        <v>1</v>
      </c>
    </row>
    <row r="114" ht="15.75" customHeight="1">
      <c r="A114" s="92"/>
      <c r="B114" s="92" t="s">
        <v>87</v>
      </c>
      <c r="C114" s="116" t="s">
        <v>535</v>
      </c>
      <c r="D114" s="116" t="s">
        <v>51</v>
      </c>
      <c r="E114" s="116">
        <v>60.0</v>
      </c>
      <c r="F114" s="117">
        <v>20100.0</v>
      </c>
      <c r="G114" s="90" t="s">
        <v>53</v>
      </c>
      <c r="H114" s="118">
        <v>46235.0</v>
      </c>
      <c r="I114" s="92" t="s">
        <v>18</v>
      </c>
      <c r="J114" s="92" t="s">
        <v>54</v>
      </c>
      <c r="K114" s="92" t="s">
        <v>66</v>
      </c>
      <c r="L114" s="92" t="s">
        <v>56</v>
      </c>
      <c r="M114" s="92" t="s">
        <v>84</v>
      </c>
      <c r="N114" s="92" t="s">
        <v>20</v>
      </c>
      <c r="O114" s="87" t="s">
        <v>59</v>
      </c>
      <c r="P114" s="87"/>
      <c r="Q114" s="87" t="s">
        <v>530</v>
      </c>
      <c r="R114" s="92" t="s">
        <v>531</v>
      </c>
      <c r="S114" s="87"/>
      <c r="T114" s="87"/>
      <c r="U114" s="94" t="str">
        <f t="array" ref="U114">IFERROR(INDEX(DFD!$D$2:$D$1048791,MATCH($Q114,DFD!$B$2:$B$1048791,0)),"")</f>
        <v/>
      </c>
      <c r="V114" s="94" t="str">
        <f t="array" ref="V114">IFERROR(INDEX(DFD!$F$2:$F$1048791,MATCH($Q114,DFD!$B$2:$B$1048791,0)),"")</f>
        <v/>
      </c>
      <c r="W114" s="97" t="str">
        <f t="array" ref="W114">IFERROR(INDEX(DFD!$E$2:$E$1048791,MATCH($Q114,DFD!$B$2:$B$1048791,0)),"")</f>
        <v/>
      </c>
      <c r="X114" s="97" t="str">
        <f t="array" ref="X114">IFERROR(INDEX(DFD!$K$2:$K$1048791,MATCH($Q114,DFD!$B$2:$B$1048791,0)),"")</f>
        <v/>
      </c>
      <c r="Y114" s="97" t="str">
        <f t="array" ref="Y114">IFERROR(INDEX(DFD!$L$2:$L$1048790,MATCH($Q114,DFD!$B$2:$B$1048790,0)),"")</f>
        <v/>
      </c>
      <c r="Z114" s="97">
        <f t="shared" si="4"/>
        <v>45</v>
      </c>
      <c r="AA114" s="87"/>
      <c r="AB114" s="87" t="s">
        <v>72</v>
      </c>
      <c r="AC114" s="87"/>
      <c r="AD114" s="99">
        <v>46043.0</v>
      </c>
      <c r="AE114" s="119">
        <f t="shared" si="5"/>
        <v>1</v>
      </c>
    </row>
    <row r="115" ht="15.75" customHeight="1">
      <c r="A115" s="67"/>
      <c r="B115" s="67" t="s">
        <v>184</v>
      </c>
      <c r="C115" s="81" t="s">
        <v>538</v>
      </c>
      <c r="D115" s="81" t="s">
        <v>51</v>
      </c>
      <c r="E115" s="81">
        <v>10.0</v>
      </c>
      <c r="F115" s="113">
        <v>118200.0</v>
      </c>
      <c r="G115" s="73" t="s">
        <v>53</v>
      </c>
      <c r="H115" s="83">
        <v>46266.0</v>
      </c>
      <c r="I115" s="67" t="s">
        <v>18</v>
      </c>
      <c r="J115" s="67" t="s">
        <v>54</v>
      </c>
      <c r="K115" s="67" t="s">
        <v>83</v>
      </c>
      <c r="L115" s="67" t="s">
        <v>56</v>
      </c>
      <c r="M115" s="67" t="s">
        <v>84</v>
      </c>
      <c r="N115" s="67" t="s">
        <v>20</v>
      </c>
      <c r="O115" s="59" t="s">
        <v>59</v>
      </c>
      <c r="P115" s="59"/>
      <c r="Q115" s="59" t="s">
        <v>539</v>
      </c>
      <c r="R115" s="67" t="s">
        <v>442</v>
      </c>
      <c r="S115" s="59"/>
      <c r="T115" s="59"/>
      <c r="U115" s="77" t="str">
        <f t="array" ref="U115">IFERROR(INDEX(DFD!$D$2:$D$1048791,MATCH($Q115,DFD!$B$2:$B$1048791,0)),"")</f>
        <v/>
      </c>
      <c r="V115" s="77" t="str">
        <f t="array" ref="V115">IFERROR(INDEX(DFD!$F$2:$F$1048791,MATCH($Q115,DFD!$B$2:$B$1048791,0)),"")</f>
        <v/>
      </c>
      <c r="W115" s="84" t="str">
        <f t="array" ref="W115">IFERROR(INDEX(DFD!$E$2:$E$1048791,MATCH($Q115,DFD!$B$2:$B$1048791,0)),"")</f>
        <v/>
      </c>
      <c r="X115" s="84" t="str">
        <f t="array" ref="X115">IFERROR(INDEX(DFD!$K$2:$K$1048791,MATCH($Q115,DFD!$B$2:$B$1048791,0)),"")</f>
        <v/>
      </c>
      <c r="Y115" s="84" t="str">
        <f t="array" ref="Y115">IFERROR(INDEX(DFD!$L$2:$L$1048790,MATCH($Q115,DFD!$B$2:$B$1048790,0)),"")</f>
        <v/>
      </c>
      <c r="Z115" s="84">
        <f t="shared" si="4"/>
        <v>45</v>
      </c>
      <c r="AA115" s="59"/>
      <c r="AB115" s="59" t="s">
        <v>72</v>
      </c>
      <c r="AC115" s="59"/>
      <c r="AD115" s="85">
        <v>46043.0</v>
      </c>
      <c r="AE115" s="114">
        <f t="shared" si="5"/>
        <v>1</v>
      </c>
    </row>
    <row r="116" ht="15.75" customHeight="1">
      <c r="A116" s="92"/>
      <c r="B116" s="92" t="s">
        <v>101</v>
      </c>
      <c r="C116" s="116" t="s">
        <v>542</v>
      </c>
      <c r="D116" s="116" t="s">
        <v>51</v>
      </c>
      <c r="E116" s="116">
        <v>5.0</v>
      </c>
      <c r="F116" s="117">
        <v>10680.0</v>
      </c>
      <c r="G116" s="90" t="s">
        <v>53</v>
      </c>
      <c r="H116" s="118">
        <v>46235.0</v>
      </c>
      <c r="I116" s="92" t="s">
        <v>18</v>
      </c>
      <c r="J116" s="92" t="s">
        <v>54</v>
      </c>
      <c r="K116" s="92" t="s">
        <v>83</v>
      </c>
      <c r="L116" s="92" t="s">
        <v>56</v>
      </c>
      <c r="M116" s="92" t="s">
        <v>84</v>
      </c>
      <c r="N116" s="92" t="s">
        <v>20</v>
      </c>
      <c r="O116" s="87" t="s">
        <v>59</v>
      </c>
      <c r="P116" s="87"/>
      <c r="Q116" s="87" t="s">
        <v>543</v>
      </c>
      <c r="R116" s="92" t="s">
        <v>442</v>
      </c>
      <c r="S116" s="87"/>
      <c r="T116" s="87"/>
      <c r="U116" s="94" t="str">
        <f t="array" ref="U116">IFERROR(INDEX(DFD!$D$2:$D$1048791,MATCH($Q116,DFD!$B$2:$B$1048791,0)),"")</f>
        <v/>
      </c>
      <c r="V116" s="94" t="str">
        <f t="array" ref="V116">IFERROR(INDEX(DFD!$F$2:$F$1048791,MATCH($Q116,DFD!$B$2:$B$1048791,0)),"")</f>
        <v/>
      </c>
      <c r="W116" s="97" t="str">
        <f t="array" ref="W116">IFERROR(INDEX(DFD!$E$2:$E$1048791,MATCH($Q116,DFD!$B$2:$B$1048791,0)),"")</f>
        <v/>
      </c>
      <c r="X116" s="97" t="str">
        <f t="array" ref="X116">IFERROR(INDEX(DFD!$K$2:$K$1048791,MATCH($Q116,DFD!$B$2:$B$1048791,0)),"")</f>
        <v/>
      </c>
      <c r="Y116" s="97" t="str">
        <f t="array" ref="Y116">IFERROR(INDEX(DFD!$L$2:$L$1048790,MATCH($Q116,DFD!$B$2:$B$1048790,0)),"")</f>
        <v/>
      </c>
      <c r="Z116" s="97">
        <f t="shared" si="4"/>
        <v>45</v>
      </c>
      <c r="AA116" s="87"/>
      <c r="AB116" s="87" t="s">
        <v>72</v>
      </c>
      <c r="AC116" s="87"/>
      <c r="AD116" s="99">
        <v>46043.0</v>
      </c>
      <c r="AE116" s="119">
        <f t="shared" si="5"/>
        <v>1</v>
      </c>
    </row>
    <row r="117" ht="15.75" customHeight="1">
      <c r="A117" s="67"/>
      <c r="B117" s="67" t="s">
        <v>386</v>
      </c>
      <c r="C117" s="81" t="s">
        <v>544</v>
      </c>
      <c r="D117" s="81" t="s">
        <v>51</v>
      </c>
      <c r="E117" s="81">
        <v>2.0</v>
      </c>
      <c r="F117" s="113">
        <v>80000.0</v>
      </c>
      <c r="G117" s="73" t="s">
        <v>53</v>
      </c>
      <c r="H117" s="83">
        <v>46266.0</v>
      </c>
      <c r="I117" s="67" t="s">
        <v>17</v>
      </c>
      <c r="J117" s="67" t="s">
        <v>54</v>
      </c>
      <c r="K117" s="67" t="s">
        <v>83</v>
      </c>
      <c r="L117" s="67" t="s">
        <v>56</v>
      </c>
      <c r="M117" s="67" t="s">
        <v>84</v>
      </c>
      <c r="N117" s="67" t="s">
        <v>20</v>
      </c>
      <c r="O117" s="59" t="s">
        <v>59</v>
      </c>
      <c r="P117" s="59"/>
      <c r="Q117" s="59" t="s">
        <v>547</v>
      </c>
      <c r="R117" s="67" t="s">
        <v>442</v>
      </c>
      <c r="S117" s="59"/>
      <c r="T117" s="59"/>
      <c r="U117" s="77" t="str">
        <f t="array" ref="U117">IFERROR(INDEX(DFD!$D$2:$D$1048791,MATCH($Q117,DFD!$B$2:$B$1048791,0)),"")</f>
        <v/>
      </c>
      <c r="V117" s="77" t="str">
        <f t="array" ref="V117">IFERROR(INDEX(DFD!$F$2:$F$1048791,MATCH($Q117,DFD!$B$2:$B$1048791,0)),"")</f>
        <v/>
      </c>
      <c r="W117" s="84" t="str">
        <f t="array" ref="W117">IFERROR(INDEX(DFD!$E$2:$E$1048791,MATCH($Q117,DFD!$B$2:$B$1048791,0)),"")</f>
        <v/>
      </c>
      <c r="X117" s="84" t="str">
        <f t="array" ref="X117">IFERROR(INDEX(DFD!$K$2:$K$1048791,MATCH($Q117,DFD!$B$2:$B$1048791,0)),"")</f>
        <v/>
      </c>
      <c r="Y117" s="84" t="str">
        <f t="array" ref="Y117">IFERROR(INDEX(DFD!$L$2:$L$1048790,MATCH($Q117,DFD!$B$2:$B$1048790,0)),"")</f>
        <v/>
      </c>
      <c r="Z117" s="84">
        <f t="shared" si="4"/>
        <v>45</v>
      </c>
      <c r="AA117" s="59"/>
      <c r="AB117" s="59" t="s">
        <v>72</v>
      </c>
      <c r="AC117" s="59"/>
      <c r="AD117" s="85">
        <v>46043.0</v>
      </c>
      <c r="AE117" s="114">
        <f t="shared" si="5"/>
        <v>1</v>
      </c>
    </row>
    <row r="118" ht="15.75" customHeight="1">
      <c r="A118" s="92"/>
      <c r="B118" s="92" t="s">
        <v>101</v>
      </c>
      <c r="C118" s="116" t="s">
        <v>549</v>
      </c>
      <c r="D118" s="116" t="s">
        <v>51</v>
      </c>
      <c r="E118" s="116">
        <v>20.0</v>
      </c>
      <c r="F118" s="117">
        <v>144000.0</v>
      </c>
      <c r="G118" s="90" t="s">
        <v>53</v>
      </c>
      <c r="H118" s="118">
        <v>46266.0</v>
      </c>
      <c r="I118" s="92" t="s">
        <v>18</v>
      </c>
      <c r="J118" s="92" t="s">
        <v>54</v>
      </c>
      <c r="K118" s="92" t="s">
        <v>83</v>
      </c>
      <c r="L118" s="92" t="s">
        <v>56</v>
      </c>
      <c r="M118" s="92" t="s">
        <v>84</v>
      </c>
      <c r="N118" s="92" t="s">
        <v>20</v>
      </c>
      <c r="O118" s="87" t="s">
        <v>59</v>
      </c>
      <c r="P118" s="87"/>
      <c r="Q118" s="87" t="s">
        <v>550</v>
      </c>
      <c r="R118" s="92" t="s">
        <v>442</v>
      </c>
      <c r="S118" s="87"/>
      <c r="T118" s="87"/>
      <c r="U118" s="94" t="str">
        <f t="array" ref="U118">IFERROR(INDEX(DFD!$D$2:$D$1048791,MATCH($Q118,DFD!$B$2:$B$1048791,0)),"")</f>
        <v/>
      </c>
      <c r="V118" s="94" t="str">
        <f t="array" ref="V118">IFERROR(INDEX(DFD!$F$2:$F$1048791,MATCH($Q118,DFD!$B$2:$B$1048791,0)),"")</f>
        <v/>
      </c>
      <c r="W118" s="97" t="str">
        <f t="array" ref="W118">IFERROR(INDEX(DFD!$E$2:$E$1048791,MATCH($Q118,DFD!$B$2:$B$1048791,0)),"")</f>
        <v/>
      </c>
      <c r="X118" s="97" t="str">
        <f t="array" ref="X118">IFERROR(INDEX(DFD!$K$2:$K$1048791,MATCH($Q118,DFD!$B$2:$B$1048791,0)),"")</f>
        <v/>
      </c>
      <c r="Y118" s="97" t="str">
        <f t="array" ref="Y118">IFERROR(INDEX(DFD!$L$2:$L$1048790,MATCH($Q118,DFD!$B$2:$B$1048790,0)),"")</f>
        <v/>
      </c>
      <c r="Z118" s="97">
        <f t="shared" si="4"/>
        <v>45</v>
      </c>
      <c r="AA118" s="87"/>
      <c r="AB118" s="87" t="s">
        <v>72</v>
      </c>
      <c r="AC118" s="87"/>
      <c r="AD118" s="99">
        <v>46043.0</v>
      </c>
      <c r="AE118" s="119">
        <f t="shared" si="5"/>
        <v>1</v>
      </c>
    </row>
    <row r="119" ht="15.75" customHeight="1">
      <c r="A119" s="67"/>
      <c r="B119" s="67" t="s">
        <v>49</v>
      </c>
      <c r="C119" s="81" t="s">
        <v>555</v>
      </c>
      <c r="D119" s="81" t="s">
        <v>51</v>
      </c>
      <c r="E119" s="81">
        <v>100.0</v>
      </c>
      <c r="F119" s="82">
        <v>850000.0</v>
      </c>
      <c r="G119" s="73" t="s">
        <v>53</v>
      </c>
      <c r="H119" s="83">
        <v>46266.0</v>
      </c>
      <c r="I119" s="67" t="s">
        <v>18</v>
      </c>
      <c r="J119" s="67" t="s">
        <v>54</v>
      </c>
      <c r="K119" s="67" t="s">
        <v>83</v>
      </c>
      <c r="L119" s="67" t="s">
        <v>56</v>
      </c>
      <c r="M119" s="67" t="s">
        <v>84</v>
      </c>
      <c r="N119" s="67" t="s">
        <v>20</v>
      </c>
      <c r="O119" s="67" t="s">
        <v>59</v>
      </c>
      <c r="P119" s="59"/>
      <c r="Q119" s="59" t="s">
        <v>550</v>
      </c>
      <c r="R119" s="67" t="s">
        <v>442</v>
      </c>
      <c r="S119" s="59"/>
      <c r="T119" s="59"/>
      <c r="U119" s="77" t="str">
        <f t="array" ref="U119">IFERROR(INDEX(DFD!$D$2:$D$1048791,MATCH($Q119,DFD!$B$2:$B$1048791,0)),"")</f>
        <v/>
      </c>
      <c r="V119" s="77" t="str">
        <f t="array" ref="V119">IFERROR(INDEX(DFD!$F$2:$F$1048791,MATCH($Q119,DFD!$B$2:$B$1048791,0)),"")</f>
        <v/>
      </c>
      <c r="W119" s="84" t="str">
        <f t="array" ref="W119">IFERROR(INDEX(DFD!$E$2:$E$1048791,MATCH($Q119,DFD!$B$2:$B$1048791,0)),"")</f>
        <v/>
      </c>
      <c r="X119" s="84" t="str">
        <f t="array" ref="X119">IFERROR(INDEX(DFD!$K$2:$K$1048791,MATCH($Q119,DFD!$B$2:$B$1048791,0)),"")</f>
        <v/>
      </c>
      <c r="Y119" s="84" t="str">
        <f t="array" ref="Y119">IFERROR(INDEX(DFD!$L$2:$L$1048790,MATCH($Q119,DFD!$B$2:$B$1048790,0)),"")</f>
        <v/>
      </c>
      <c r="Z119" s="84">
        <f t="shared" si="4"/>
        <v>45</v>
      </c>
      <c r="AA119" s="59"/>
      <c r="AB119" s="59" t="s">
        <v>72</v>
      </c>
      <c r="AC119" s="59"/>
      <c r="AD119" s="85">
        <v>46043.0</v>
      </c>
      <c r="AE119" s="114">
        <f t="shared" si="5"/>
        <v>1</v>
      </c>
    </row>
    <row r="120" ht="15.75" customHeight="1">
      <c r="A120" s="87"/>
      <c r="B120" s="87" t="s">
        <v>101</v>
      </c>
      <c r="C120" s="88" t="s">
        <v>558</v>
      </c>
      <c r="D120" s="88" t="s">
        <v>51</v>
      </c>
      <c r="E120" s="88">
        <v>20.0</v>
      </c>
      <c r="F120" s="139">
        <v>2880.0</v>
      </c>
      <c r="G120" s="90" t="s">
        <v>53</v>
      </c>
      <c r="H120" s="91">
        <v>46174.0</v>
      </c>
      <c r="I120" s="92" t="s">
        <v>17</v>
      </c>
      <c r="J120" s="92" t="s">
        <v>54</v>
      </c>
      <c r="K120" s="92" t="s">
        <v>66</v>
      </c>
      <c r="L120" s="92" t="s">
        <v>56</v>
      </c>
      <c r="M120" s="92" t="s">
        <v>57</v>
      </c>
      <c r="N120" s="87" t="s">
        <v>20</v>
      </c>
      <c r="O120" s="87" t="s">
        <v>59</v>
      </c>
      <c r="P120" s="87"/>
      <c r="Q120" s="87" t="s">
        <v>550</v>
      </c>
      <c r="R120" s="92" t="s">
        <v>71</v>
      </c>
      <c r="S120" s="87"/>
      <c r="T120" s="87"/>
      <c r="U120" s="94" t="str">
        <f t="array" ref="U120">IFERROR(INDEX(DFD!$D$2:$D$1048791,MATCH($Q120,DFD!$B$2:$B$1048791,0)),"")</f>
        <v/>
      </c>
      <c r="V120" s="94" t="str">
        <f t="array" ref="V120">IFERROR(INDEX(DFD!$F$2:$F$1048791,MATCH($Q120,DFD!$B$2:$B$1048791,0)),"")</f>
        <v/>
      </c>
      <c r="W120" s="97" t="str">
        <f t="array" ref="W120">IFERROR(INDEX(DFD!$E$2:$E$1048791,MATCH($Q120,DFD!$B$2:$B$1048791,0)),"")</f>
        <v/>
      </c>
      <c r="X120" s="97" t="str">
        <f t="array" ref="X120">IFERROR(INDEX(DFD!$K$2:$K$1048791,MATCH($Q120,DFD!$B$2:$B$1048791,0)),"")</f>
        <v/>
      </c>
      <c r="Y120" s="97" t="str">
        <f t="array" ref="Y120">IFERROR(INDEX(DFD!$L$2:$L$1048790,MATCH($Q120,DFD!$B$2:$B$1048790,0)),"")</f>
        <v/>
      </c>
      <c r="Z120" s="97">
        <f t="shared" si="4"/>
        <v>45</v>
      </c>
      <c r="AA120" s="87"/>
      <c r="AB120" s="87" t="s">
        <v>72</v>
      </c>
      <c r="AC120" s="87"/>
      <c r="AD120" s="99">
        <v>46043.0</v>
      </c>
      <c r="AE120" s="119">
        <f t="shared" si="5"/>
        <v>1</v>
      </c>
    </row>
    <row r="121" ht="15.75" customHeight="1">
      <c r="A121" s="67"/>
      <c r="B121" s="104" t="s">
        <v>105</v>
      </c>
      <c r="C121" s="81" t="s">
        <v>559</v>
      </c>
      <c r="D121" s="81" t="s">
        <v>51</v>
      </c>
      <c r="E121" s="81">
        <v>3.0</v>
      </c>
      <c r="F121" s="113">
        <v>2400.0</v>
      </c>
      <c r="G121" s="73" t="s">
        <v>53</v>
      </c>
      <c r="H121" s="83">
        <v>46174.0</v>
      </c>
      <c r="I121" s="67" t="s">
        <v>18</v>
      </c>
      <c r="J121" s="67" t="s">
        <v>54</v>
      </c>
      <c r="K121" s="67" t="s">
        <v>83</v>
      </c>
      <c r="L121" s="67" t="s">
        <v>197</v>
      </c>
      <c r="M121" s="67" t="s">
        <v>84</v>
      </c>
      <c r="N121" s="67" t="s">
        <v>20</v>
      </c>
      <c r="O121" s="59" t="s">
        <v>59</v>
      </c>
      <c r="P121" s="59"/>
      <c r="Q121" s="59" t="s">
        <v>560</v>
      </c>
      <c r="R121" s="67" t="s">
        <v>561</v>
      </c>
      <c r="S121" s="59"/>
      <c r="T121" s="59"/>
      <c r="U121" s="77" t="str">
        <f t="array" ref="U121">IFERROR(INDEX(DFD!$D$2:$D$1048791,MATCH($Q121,DFD!$B$2:$B$1048791,0)),"")</f>
        <v/>
      </c>
      <c r="V121" s="77" t="str">
        <f t="array" ref="V121">IFERROR(INDEX(DFD!$F$2:$F$1048791,MATCH($Q121,DFD!$B$2:$B$1048791,0)),"")</f>
        <v/>
      </c>
      <c r="W121" s="84" t="str">
        <f t="array" ref="W121">IFERROR(INDEX(DFD!$E$2:$E$1048791,MATCH($Q121,DFD!$B$2:$B$1048791,0)),"")</f>
        <v/>
      </c>
      <c r="X121" s="84" t="str">
        <f t="array" ref="X121">IFERROR(INDEX(DFD!$K$2:$K$1048791,MATCH($Q121,DFD!$B$2:$B$1048791,0)),"")</f>
        <v/>
      </c>
      <c r="Y121" s="84" t="str">
        <f t="array" ref="Y121">IFERROR(INDEX(DFD!$L$2:$L$1048790,MATCH($Q121,DFD!$B$2:$B$1048790,0)),"")</f>
        <v/>
      </c>
      <c r="Z121" s="84">
        <f t="shared" si="4"/>
        <v>45</v>
      </c>
      <c r="AA121" s="59"/>
      <c r="AB121" s="59" t="s">
        <v>72</v>
      </c>
      <c r="AC121" s="59"/>
      <c r="AD121" s="85">
        <v>46043.0</v>
      </c>
      <c r="AE121" s="114">
        <f t="shared" si="5"/>
        <v>1</v>
      </c>
    </row>
    <row r="122" ht="15.75" customHeight="1">
      <c r="A122" s="92"/>
      <c r="B122" s="92" t="s">
        <v>172</v>
      </c>
      <c r="C122" s="116" t="s">
        <v>559</v>
      </c>
      <c r="D122" s="116" t="s">
        <v>51</v>
      </c>
      <c r="E122" s="116">
        <v>1.0</v>
      </c>
      <c r="F122" s="117">
        <v>800.0</v>
      </c>
      <c r="G122" s="90" t="s">
        <v>53</v>
      </c>
      <c r="H122" s="118">
        <v>46174.0</v>
      </c>
      <c r="I122" s="92" t="s">
        <v>18</v>
      </c>
      <c r="J122" s="92" t="s">
        <v>54</v>
      </c>
      <c r="K122" s="92" t="s">
        <v>83</v>
      </c>
      <c r="L122" s="92" t="s">
        <v>56</v>
      </c>
      <c r="M122" s="92" t="s">
        <v>84</v>
      </c>
      <c r="N122" s="92" t="s">
        <v>20</v>
      </c>
      <c r="O122" s="87" t="s">
        <v>59</v>
      </c>
      <c r="P122" s="87"/>
      <c r="Q122" s="87" t="s">
        <v>560</v>
      </c>
      <c r="R122" s="92" t="s">
        <v>561</v>
      </c>
      <c r="S122" s="87"/>
      <c r="T122" s="87"/>
      <c r="U122" s="94" t="str">
        <f t="array" ref="U122">IFERROR(INDEX(DFD!$D$2:$D$1048791,MATCH($Q122,DFD!$B$2:$B$1048791,0)),"")</f>
        <v/>
      </c>
      <c r="V122" s="94" t="str">
        <f t="array" ref="V122">IFERROR(INDEX(DFD!$F$2:$F$1048791,MATCH($Q122,DFD!$B$2:$B$1048791,0)),"")</f>
        <v/>
      </c>
      <c r="W122" s="97" t="str">
        <f t="array" ref="W122">IFERROR(INDEX(DFD!$E$2:$E$1048791,MATCH($Q122,DFD!$B$2:$B$1048791,0)),"")</f>
        <v/>
      </c>
      <c r="X122" s="97" t="str">
        <f t="array" ref="X122">IFERROR(INDEX(DFD!$K$2:$K$1048791,MATCH($Q122,DFD!$B$2:$B$1048791,0)),"")</f>
        <v/>
      </c>
      <c r="Y122" s="97" t="str">
        <f t="array" ref="Y122">IFERROR(INDEX(DFD!$L$2:$L$1048790,MATCH($Q122,DFD!$B$2:$B$1048790,0)),"")</f>
        <v/>
      </c>
      <c r="Z122" s="97">
        <f t="shared" si="4"/>
        <v>45</v>
      </c>
      <c r="AA122" s="87"/>
      <c r="AB122" s="87" t="s">
        <v>72</v>
      </c>
      <c r="AC122" s="87"/>
      <c r="AD122" s="99">
        <v>46043.0</v>
      </c>
      <c r="AE122" s="119">
        <f t="shared" si="5"/>
        <v>1</v>
      </c>
    </row>
    <row r="123" ht="15.75" customHeight="1">
      <c r="A123" s="67"/>
      <c r="B123" s="67" t="s">
        <v>80</v>
      </c>
      <c r="C123" s="81" t="s">
        <v>559</v>
      </c>
      <c r="D123" s="81" t="s">
        <v>51</v>
      </c>
      <c r="E123" s="81">
        <v>1.0</v>
      </c>
      <c r="F123" s="113">
        <v>800.0</v>
      </c>
      <c r="G123" s="73" t="s">
        <v>53</v>
      </c>
      <c r="H123" s="83">
        <v>46174.0</v>
      </c>
      <c r="I123" s="67" t="s">
        <v>18</v>
      </c>
      <c r="J123" s="67" t="s">
        <v>54</v>
      </c>
      <c r="K123" s="67" t="s">
        <v>83</v>
      </c>
      <c r="L123" s="67" t="s">
        <v>56</v>
      </c>
      <c r="M123" s="67" t="s">
        <v>84</v>
      </c>
      <c r="N123" s="67" t="s">
        <v>20</v>
      </c>
      <c r="O123" s="59" t="s">
        <v>59</v>
      </c>
      <c r="P123" s="59"/>
      <c r="Q123" s="59" t="s">
        <v>560</v>
      </c>
      <c r="R123" s="67" t="s">
        <v>561</v>
      </c>
      <c r="S123" s="59"/>
      <c r="T123" s="59"/>
      <c r="U123" s="77" t="str">
        <f t="array" ref="U123">IFERROR(INDEX(DFD!$D$2:$D$1048791,MATCH($Q123,DFD!$B$2:$B$1048791,0)),"")</f>
        <v/>
      </c>
      <c r="V123" s="77" t="str">
        <f t="array" ref="V123">IFERROR(INDEX(DFD!$F$2:$F$1048791,MATCH($Q123,DFD!$B$2:$B$1048791,0)),"")</f>
        <v/>
      </c>
      <c r="W123" s="84" t="str">
        <f t="array" ref="W123">IFERROR(INDEX(DFD!$E$2:$E$1048791,MATCH($Q123,DFD!$B$2:$B$1048791,0)),"")</f>
        <v/>
      </c>
      <c r="X123" s="84" t="str">
        <f t="array" ref="X123">IFERROR(INDEX(DFD!$K$2:$K$1048791,MATCH($Q123,DFD!$B$2:$B$1048791,0)),"")</f>
        <v/>
      </c>
      <c r="Y123" s="84" t="str">
        <f t="array" ref="Y123">IFERROR(INDEX(DFD!$L$2:$L$1048790,MATCH($Q123,DFD!$B$2:$B$1048790,0)),"")</f>
        <v/>
      </c>
      <c r="Z123" s="84">
        <f t="shared" si="4"/>
        <v>45</v>
      </c>
      <c r="AA123" s="59"/>
      <c r="AB123" s="59" t="s">
        <v>72</v>
      </c>
      <c r="AC123" s="59"/>
      <c r="AD123" s="85">
        <v>46043.0</v>
      </c>
      <c r="AE123" s="114">
        <f t="shared" si="5"/>
        <v>1</v>
      </c>
    </row>
    <row r="124" ht="51.75" customHeight="1">
      <c r="A124" s="92"/>
      <c r="B124" s="92" t="s">
        <v>123</v>
      </c>
      <c r="C124" s="116" t="s">
        <v>559</v>
      </c>
      <c r="D124" s="116" t="s">
        <v>51</v>
      </c>
      <c r="E124" s="116">
        <v>1.0</v>
      </c>
      <c r="F124" s="117">
        <v>800.0</v>
      </c>
      <c r="G124" s="90" t="s">
        <v>53</v>
      </c>
      <c r="H124" s="118">
        <v>46174.0</v>
      </c>
      <c r="I124" s="92" t="s">
        <v>18</v>
      </c>
      <c r="J124" s="92" t="s">
        <v>54</v>
      </c>
      <c r="K124" s="92" t="s">
        <v>83</v>
      </c>
      <c r="L124" s="92" t="s">
        <v>56</v>
      </c>
      <c r="M124" s="92" t="s">
        <v>84</v>
      </c>
      <c r="N124" s="92" t="s">
        <v>20</v>
      </c>
      <c r="O124" s="87" t="s">
        <v>59</v>
      </c>
      <c r="P124" s="87"/>
      <c r="Q124" s="87" t="s">
        <v>560</v>
      </c>
      <c r="R124" s="92" t="s">
        <v>561</v>
      </c>
      <c r="S124" s="87"/>
      <c r="T124" s="87"/>
      <c r="U124" s="94" t="str">
        <f t="array" ref="U124">IFERROR(INDEX(DFD!$D$2:$D$1048791,MATCH($Q124,DFD!$B$2:$B$1048791,0)),"")</f>
        <v/>
      </c>
      <c r="V124" s="94" t="str">
        <f t="array" ref="V124">IFERROR(INDEX(DFD!$F$2:$F$1048791,MATCH($Q124,DFD!$B$2:$B$1048791,0)),"")</f>
        <v/>
      </c>
      <c r="W124" s="97" t="str">
        <f t="array" ref="W124">IFERROR(INDEX(DFD!$E$2:$E$1048791,MATCH($Q124,DFD!$B$2:$B$1048791,0)),"")</f>
        <v/>
      </c>
      <c r="X124" s="97" t="str">
        <f t="array" ref="X124">IFERROR(INDEX(DFD!$K$2:$K$1048791,MATCH($Q124,DFD!$B$2:$B$1048791,0)),"")</f>
        <v/>
      </c>
      <c r="Y124" s="97" t="str">
        <f t="array" ref="Y124">IFERROR(INDEX(DFD!$L$2:$L$1048790,MATCH($Q124,DFD!$B$2:$B$1048790,0)),"")</f>
        <v/>
      </c>
      <c r="Z124" s="97">
        <f t="shared" si="4"/>
        <v>45</v>
      </c>
      <c r="AA124" s="87"/>
      <c r="AB124" s="87" t="s">
        <v>72</v>
      </c>
      <c r="AC124" s="87"/>
      <c r="AD124" s="99">
        <v>46043.0</v>
      </c>
      <c r="AE124" s="119">
        <f t="shared" si="5"/>
        <v>1</v>
      </c>
    </row>
    <row r="125" ht="51.75" customHeight="1">
      <c r="A125" s="67"/>
      <c r="B125" s="67" t="s">
        <v>107</v>
      </c>
      <c r="C125" s="81" t="s">
        <v>559</v>
      </c>
      <c r="D125" s="81" t="s">
        <v>51</v>
      </c>
      <c r="E125" s="81">
        <v>1.0</v>
      </c>
      <c r="F125" s="113">
        <v>800.0</v>
      </c>
      <c r="G125" s="73" t="s">
        <v>53</v>
      </c>
      <c r="H125" s="83">
        <v>46174.0</v>
      </c>
      <c r="I125" s="67" t="s">
        <v>18</v>
      </c>
      <c r="J125" s="67" t="s">
        <v>54</v>
      </c>
      <c r="K125" s="67" t="s">
        <v>83</v>
      </c>
      <c r="L125" s="67" t="s">
        <v>56</v>
      </c>
      <c r="M125" s="67" t="s">
        <v>84</v>
      </c>
      <c r="N125" s="67" t="s">
        <v>20</v>
      </c>
      <c r="O125" s="59" t="s">
        <v>59</v>
      </c>
      <c r="P125" s="59"/>
      <c r="Q125" s="59" t="s">
        <v>560</v>
      </c>
      <c r="R125" s="67" t="s">
        <v>561</v>
      </c>
      <c r="S125" s="59"/>
      <c r="T125" s="59"/>
      <c r="U125" s="77" t="str">
        <f t="array" ref="U125">IFERROR(INDEX(DFD!$D$2:$D$1048791,MATCH($Q125,DFD!$B$2:$B$1048791,0)),"")</f>
        <v/>
      </c>
      <c r="V125" s="77" t="str">
        <f t="array" ref="V125">IFERROR(INDEX(DFD!$F$2:$F$1048791,MATCH($Q125,DFD!$B$2:$B$1048791,0)),"")</f>
        <v/>
      </c>
      <c r="W125" s="84" t="str">
        <f t="array" ref="W125">IFERROR(INDEX(DFD!$E$2:$E$1048791,MATCH($Q125,DFD!$B$2:$B$1048791,0)),"")</f>
        <v/>
      </c>
      <c r="X125" s="84" t="str">
        <f t="array" ref="X125">IFERROR(INDEX(DFD!$K$2:$K$1048791,MATCH($Q125,DFD!$B$2:$B$1048791,0)),"")</f>
        <v/>
      </c>
      <c r="Y125" s="84" t="str">
        <f t="array" ref="Y125">IFERROR(INDEX(DFD!$L$2:$L$1048790,MATCH($Q125,DFD!$B$2:$B$1048790,0)),"")</f>
        <v/>
      </c>
      <c r="Z125" s="84">
        <f t="shared" si="4"/>
        <v>45</v>
      </c>
      <c r="AA125" s="59"/>
      <c r="AB125" s="59" t="s">
        <v>72</v>
      </c>
      <c r="AC125" s="59"/>
      <c r="AD125" s="85">
        <v>46043.0</v>
      </c>
      <c r="AE125" s="114">
        <f t="shared" si="5"/>
        <v>1</v>
      </c>
    </row>
    <row r="126" ht="15.75" customHeight="1">
      <c r="A126" s="92"/>
      <c r="B126" s="92" t="s">
        <v>95</v>
      </c>
      <c r="C126" s="116" t="s">
        <v>559</v>
      </c>
      <c r="D126" s="116" t="s">
        <v>51</v>
      </c>
      <c r="E126" s="116">
        <v>1.0</v>
      </c>
      <c r="F126" s="117">
        <v>800.0</v>
      </c>
      <c r="G126" s="90" t="s">
        <v>53</v>
      </c>
      <c r="H126" s="118">
        <v>46174.0</v>
      </c>
      <c r="I126" s="92" t="s">
        <v>18</v>
      </c>
      <c r="J126" s="92" t="s">
        <v>54</v>
      </c>
      <c r="K126" s="92" t="s">
        <v>83</v>
      </c>
      <c r="L126" s="92" t="s">
        <v>56</v>
      </c>
      <c r="M126" s="92" t="s">
        <v>84</v>
      </c>
      <c r="N126" s="92" t="s">
        <v>20</v>
      </c>
      <c r="O126" s="87" t="s">
        <v>59</v>
      </c>
      <c r="P126" s="87"/>
      <c r="Q126" s="87" t="s">
        <v>560</v>
      </c>
      <c r="R126" s="92" t="s">
        <v>561</v>
      </c>
      <c r="S126" s="87"/>
      <c r="T126" s="87"/>
      <c r="U126" s="94" t="str">
        <f t="array" ref="U126">IFERROR(INDEX(DFD!$D$2:$D$1048791,MATCH($Q126,DFD!$B$2:$B$1048791,0)),"")</f>
        <v/>
      </c>
      <c r="V126" s="94" t="str">
        <f t="array" ref="V126">IFERROR(INDEX(DFD!$F$2:$F$1048791,MATCH($Q126,DFD!$B$2:$B$1048791,0)),"")</f>
        <v/>
      </c>
      <c r="W126" s="97" t="str">
        <f t="array" ref="W126">IFERROR(INDEX(DFD!$E$2:$E$1048791,MATCH($Q126,DFD!$B$2:$B$1048791,0)),"")</f>
        <v/>
      </c>
      <c r="X126" s="97" t="str">
        <f t="array" ref="X126">IFERROR(INDEX(DFD!$K$2:$K$1048791,MATCH($Q126,DFD!$B$2:$B$1048791,0)),"")</f>
        <v/>
      </c>
      <c r="Y126" s="97" t="str">
        <f t="array" ref="Y126">IFERROR(INDEX(DFD!$L$2:$L$1048790,MATCH($Q126,DFD!$B$2:$B$1048790,0)),"")</f>
        <v/>
      </c>
      <c r="Z126" s="97">
        <f t="shared" si="4"/>
        <v>45</v>
      </c>
      <c r="AA126" s="87"/>
      <c r="AB126" s="87" t="s">
        <v>72</v>
      </c>
      <c r="AC126" s="87"/>
      <c r="AD126" s="99">
        <v>46043.0</v>
      </c>
      <c r="AE126" s="119">
        <f t="shared" si="5"/>
        <v>1</v>
      </c>
    </row>
    <row r="127" ht="15.75" customHeight="1">
      <c r="A127" s="67"/>
      <c r="B127" s="104" t="s">
        <v>81</v>
      </c>
      <c r="C127" s="81" t="s">
        <v>568</v>
      </c>
      <c r="D127" s="81" t="s">
        <v>51</v>
      </c>
      <c r="E127" s="81">
        <v>2.0</v>
      </c>
      <c r="F127" s="113">
        <v>5000.0</v>
      </c>
      <c r="G127" s="73" t="s">
        <v>53</v>
      </c>
      <c r="H127" s="83">
        <v>46204.0</v>
      </c>
      <c r="I127" s="67" t="s">
        <v>18</v>
      </c>
      <c r="J127" s="67" t="s">
        <v>54</v>
      </c>
      <c r="K127" s="67" t="s">
        <v>83</v>
      </c>
      <c r="L127" s="67" t="s">
        <v>56</v>
      </c>
      <c r="M127" s="67" t="s">
        <v>84</v>
      </c>
      <c r="N127" s="67" t="s">
        <v>20</v>
      </c>
      <c r="O127" s="59" t="s">
        <v>59</v>
      </c>
      <c r="P127" s="59"/>
      <c r="Q127" s="59" t="s">
        <v>569</v>
      </c>
      <c r="R127" s="67" t="s">
        <v>561</v>
      </c>
      <c r="S127" s="59"/>
      <c r="T127" s="59"/>
      <c r="U127" s="77" t="str">
        <f t="array" ref="U127">IFERROR(INDEX(DFD!$D$2:$D$1048791,MATCH($Q127,DFD!$B$2:$B$1048791,0)),"")</f>
        <v/>
      </c>
      <c r="V127" s="77" t="str">
        <f t="array" ref="V127">IFERROR(INDEX(DFD!$F$2:$F$1048791,MATCH($Q127,DFD!$B$2:$B$1048791,0)),"")</f>
        <v/>
      </c>
      <c r="W127" s="84" t="str">
        <f t="array" ref="W127">IFERROR(INDEX(DFD!$E$2:$E$1048791,MATCH($Q127,DFD!$B$2:$B$1048791,0)),"")</f>
        <v/>
      </c>
      <c r="X127" s="84" t="str">
        <f t="array" ref="X127">IFERROR(INDEX(DFD!$K$2:$K$1048791,MATCH($Q127,DFD!$B$2:$B$1048791,0)),"")</f>
        <v/>
      </c>
      <c r="Y127" s="84" t="str">
        <f t="array" ref="Y127">IFERROR(INDEX(DFD!$L$2:$L$1048790,MATCH($Q127,DFD!$B$2:$B$1048790,0)),"")</f>
        <v/>
      </c>
      <c r="Z127" s="84">
        <f t="shared" si="4"/>
        <v>45</v>
      </c>
      <c r="AA127" s="59"/>
      <c r="AB127" s="59" t="s">
        <v>72</v>
      </c>
      <c r="AC127" s="59"/>
      <c r="AD127" s="85">
        <v>46043.0</v>
      </c>
      <c r="AE127" s="114">
        <f t="shared" si="5"/>
        <v>1</v>
      </c>
    </row>
    <row r="128" ht="15.75" customHeight="1">
      <c r="A128" s="92"/>
      <c r="B128" s="92" t="s">
        <v>105</v>
      </c>
      <c r="C128" s="116" t="s">
        <v>568</v>
      </c>
      <c r="D128" s="116" t="s">
        <v>51</v>
      </c>
      <c r="E128" s="116">
        <v>1.0</v>
      </c>
      <c r="F128" s="117">
        <v>2500.0</v>
      </c>
      <c r="G128" s="90" t="s">
        <v>53</v>
      </c>
      <c r="H128" s="118">
        <v>46174.0</v>
      </c>
      <c r="I128" s="92" t="s">
        <v>18</v>
      </c>
      <c r="J128" s="92" t="s">
        <v>54</v>
      </c>
      <c r="K128" s="92" t="s">
        <v>83</v>
      </c>
      <c r="L128" s="92" t="s">
        <v>56</v>
      </c>
      <c r="M128" s="92" t="s">
        <v>84</v>
      </c>
      <c r="N128" s="92" t="s">
        <v>20</v>
      </c>
      <c r="O128" s="87" t="s">
        <v>59</v>
      </c>
      <c r="P128" s="87"/>
      <c r="Q128" s="87" t="s">
        <v>569</v>
      </c>
      <c r="R128" s="92" t="s">
        <v>561</v>
      </c>
      <c r="S128" s="87"/>
      <c r="T128" s="87"/>
      <c r="U128" s="94" t="str">
        <f t="array" ref="U128">IFERROR(INDEX(DFD!$D$2:$D$1048791,MATCH($Q128,DFD!$B$2:$B$1048791,0)),"")</f>
        <v/>
      </c>
      <c r="V128" s="94" t="str">
        <f t="array" ref="V128">IFERROR(INDEX(DFD!$F$2:$F$1048791,MATCH($Q128,DFD!$B$2:$B$1048791,0)),"")</f>
        <v/>
      </c>
      <c r="W128" s="97" t="str">
        <f t="array" ref="W128">IFERROR(INDEX(DFD!$E$2:$E$1048791,MATCH($Q128,DFD!$B$2:$B$1048791,0)),"")</f>
        <v/>
      </c>
      <c r="X128" s="97" t="str">
        <f t="array" ref="X128">IFERROR(INDEX(DFD!$K$2:$K$1048791,MATCH($Q128,DFD!$B$2:$B$1048791,0)),"")</f>
        <v/>
      </c>
      <c r="Y128" s="97" t="str">
        <f t="array" ref="Y128">IFERROR(INDEX(DFD!$L$2:$L$1048790,MATCH($Q128,DFD!$B$2:$B$1048790,0)),"")</f>
        <v/>
      </c>
      <c r="Z128" s="97">
        <f t="shared" si="4"/>
        <v>45</v>
      </c>
      <c r="AA128" s="87"/>
      <c r="AB128" s="87" t="s">
        <v>72</v>
      </c>
      <c r="AC128" s="87"/>
      <c r="AD128" s="99">
        <v>46043.0</v>
      </c>
      <c r="AE128" s="119">
        <f t="shared" si="5"/>
        <v>1</v>
      </c>
    </row>
    <row r="129" ht="15.75" customHeight="1">
      <c r="A129" s="67"/>
      <c r="B129" s="67" t="s">
        <v>174</v>
      </c>
      <c r="C129" s="81" t="s">
        <v>568</v>
      </c>
      <c r="D129" s="81" t="s">
        <v>51</v>
      </c>
      <c r="E129" s="81">
        <v>1.0</v>
      </c>
      <c r="F129" s="113">
        <v>2500.0</v>
      </c>
      <c r="G129" s="73" t="s">
        <v>53</v>
      </c>
      <c r="H129" s="83">
        <v>46174.0</v>
      </c>
      <c r="I129" s="67" t="s">
        <v>18</v>
      </c>
      <c r="J129" s="67" t="s">
        <v>54</v>
      </c>
      <c r="K129" s="67" t="s">
        <v>83</v>
      </c>
      <c r="L129" s="67" t="s">
        <v>56</v>
      </c>
      <c r="M129" s="67" t="s">
        <v>84</v>
      </c>
      <c r="N129" s="67" t="s">
        <v>20</v>
      </c>
      <c r="O129" s="59" t="s">
        <v>59</v>
      </c>
      <c r="P129" s="59"/>
      <c r="Q129" s="59" t="s">
        <v>569</v>
      </c>
      <c r="R129" s="67" t="s">
        <v>561</v>
      </c>
      <c r="S129" s="59"/>
      <c r="T129" s="59"/>
      <c r="U129" s="77" t="str">
        <f t="array" ref="U129">IFERROR(INDEX(DFD!$D$2:$D$1048791,MATCH($Q129,DFD!$B$2:$B$1048791,0)),"")</f>
        <v/>
      </c>
      <c r="V129" s="77" t="str">
        <f t="array" ref="V129">IFERROR(INDEX(DFD!$F$2:$F$1048791,MATCH($Q129,DFD!$B$2:$B$1048791,0)),"")</f>
        <v/>
      </c>
      <c r="W129" s="84" t="str">
        <f t="array" ref="W129">IFERROR(INDEX(DFD!$E$2:$E$1048791,MATCH($Q129,DFD!$B$2:$B$1048791,0)),"")</f>
        <v/>
      </c>
      <c r="X129" s="84" t="str">
        <f t="array" ref="X129">IFERROR(INDEX(DFD!$K$2:$K$1048791,MATCH($Q129,DFD!$B$2:$B$1048791,0)),"")</f>
        <v/>
      </c>
      <c r="Y129" s="84" t="str">
        <f t="array" ref="Y129">IFERROR(INDEX(DFD!$L$2:$L$1048790,MATCH($Q129,DFD!$B$2:$B$1048790,0)),"")</f>
        <v/>
      </c>
      <c r="Z129" s="84">
        <f t="shared" si="4"/>
        <v>45</v>
      </c>
      <c r="AA129" s="59"/>
      <c r="AB129" s="59" t="s">
        <v>72</v>
      </c>
      <c r="AC129" s="59"/>
      <c r="AD129" s="85">
        <v>46043.0</v>
      </c>
      <c r="AE129" s="114">
        <f t="shared" si="5"/>
        <v>1</v>
      </c>
    </row>
    <row r="130" ht="15.75" customHeight="1">
      <c r="A130" s="92"/>
      <c r="B130" s="92" t="s">
        <v>155</v>
      </c>
      <c r="C130" s="116" t="s">
        <v>578</v>
      </c>
      <c r="D130" s="116" t="s">
        <v>51</v>
      </c>
      <c r="E130" s="116">
        <v>2.0</v>
      </c>
      <c r="F130" s="117">
        <v>1000.0</v>
      </c>
      <c r="G130" s="90" t="s">
        <v>53</v>
      </c>
      <c r="H130" s="118">
        <v>46174.0</v>
      </c>
      <c r="I130" s="92" t="s">
        <v>18</v>
      </c>
      <c r="J130" s="92" t="s">
        <v>54</v>
      </c>
      <c r="K130" s="92" t="s">
        <v>83</v>
      </c>
      <c r="L130" s="92" t="s">
        <v>56</v>
      </c>
      <c r="M130" s="92" t="s">
        <v>84</v>
      </c>
      <c r="N130" s="92" t="s">
        <v>20</v>
      </c>
      <c r="O130" s="87" t="s">
        <v>59</v>
      </c>
      <c r="P130" s="87"/>
      <c r="Q130" s="87" t="s">
        <v>579</v>
      </c>
      <c r="R130" s="92" t="s">
        <v>323</v>
      </c>
      <c r="S130" s="87"/>
      <c r="T130" s="87"/>
      <c r="U130" s="94" t="str">
        <f t="array" ref="U130">IFERROR(INDEX(DFD!$D$2:$D$1048791,MATCH(#REF!,DFD!$B$2:$B$1048791,0)),"")</f>
        <v/>
      </c>
      <c r="V130" s="94" t="str">
        <f t="array" ref="V130">IFERROR(INDEX(DFD!$F$2:$F$1048791,MATCH(#REF!,DFD!$B$2:$B$1048791,0)),"")</f>
        <v/>
      </c>
      <c r="W130" s="97" t="str">
        <f t="array" ref="W130">IFERROR(INDEX(DFD!$E$2:$E$1048791,MATCH(#REF!,DFD!$B$2:$B$1048791,0)),"")</f>
        <v/>
      </c>
      <c r="X130" s="97" t="str">
        <f t="array" ref="X130">IFERROR(INDEX(DFD!$K$2:$K$1048791,MATCH(#REF!,DFD!$B$2:$B$1048791,0)),"")</f>
        <v/>
      </c>
      <c r="Y130" s="97" t="str">
        <f t="array" ref="Y130">IFERROR(INDEX(DFD!$L$2:$L$1048790,MATCH(#REF!,DFD!$B$2:$B$1048790,0)),"")</f>
        <v/>
      </c>
      <c r="Z130" s="97">
        <f t="shared" si="4"/>
        <v>45</v>
      </c>
      <c r="AA130" s="87"/>
      <c r="AB130" s="87" t="s">
        <v>72</v>
      </c>
      <c r="AC130" s="87"/>
      <c r="AD130" s="99">
        <v>46043.0</v>
      </c>
      <c r="AE130" s="119">
        <f t="shared" si="5"/>
        <v>1</v>
      </c>
    </row>
    <row r="131" ht="15.75" customHeight="1">
      <c r="A131" s="67"/>
      <c r="B131" s="104" t="s">
        <v>95</v>
      </c>
      <c r="C131" s="81" t="s">
        <v>582</v>
      </c>
      <c r="D131" s="81" t="s">
        <v>51</v>
      </c>
      <c r="E131" s="81">
        <v>1.0</v>
      </c>
      <c r="F131" s="113">
        <v>2879.0</v>
      </c>
      <c r="G131" s="73" t="s">
        <v>53</v>
      </c>
      <c r="H131" s="83">
        <v>46174.0</v>
      </c>
      <c r="I131" s="67" t="s">
        <v>18</v>
      </c>
      <c r="J131" s="67" t="s">
        <v>54</v>
      </c>
      <c r="K131" s="67" t="s">
        <v>83</v>
      </c>
      <c r="L131" s="67" t="s">
        <v>56</v>
      </c>
      <c r="M131" s="67" t="s">
        <v>84</v>
      </c>
      <c r="N131" s="67" t="s">
        <v>20</v>
      </c>
      <c r="O131" s="59" t="s">
        <v>59</v>
      </c>
      <c r="P131" s="59"/>
      <c r="Q131" s="59" t="s">
        <v>579</v>
      </c>
      <c r="R131" s="67" t="s">
        <v>323</v>
      </c>
      <c r="S131" s="59"/>
      <c r="T131" s="59"/>
      <c r="U131" s="77" t="str">
        <f t="array" ref="U131">IFERROR(INDEX(DFD!$D$2:$D$1048791,MATCH($Q131,DFD!$B$2:$B$1048791,0)),"")</f>
        <v/>
      </c>
      <c r="V131" s="67" t="s">
        <v>386</v>
      </c>
      <c r="W131" s="84" t="str">
        <f t="array" ref="W131">IFERROR(INDEX(DFD!$E$2:$E$1048791,MATCH($Q131,DFD!$B$2:$B$1048791,0)),"")</f>
        <v/>
      </c>
      <c r="X131" s="84" t="str">
        <f t="array" ref="X131">IFERROR(INDEX(DFD!$K$2:$K$1048791,MATCH($Q131,DFD!$B$2:$B$1048791,0)),"")</f>
        <v/>
      </c>
      <c r="Y131" s="84" t="str">
        <f t="array" ref="Y131">IFERROR(INDEX(DFD!$L$2:$L$1048790,MATCH($Q131,DFD!$B$2:$B$1048790,0)),"")</f>
        <v/>
      </c>
      <c r="Z131" s="84">
        <f t="shared" si="4"/>
        <v>45</v>
      </c>
      <c r="AA131" s="59"/>
      <c r="AB131" s="59" t="s">
        <v>72</v>
      </c>
      <c r="AC131" s="59"/>
      <c r="AD131" s="85">
        <v>46043.0</v>
      </c>
      <c r="AE131" s="114">
        <f t="shared" si="5"/>
        <v>1</v>
      </c>
    </row>
    <row r="132" ht="15.75" customHeight="1">
      <c r="A132" s="92"/>
      <c r="B132" s="92" t="s">
        <v>386</v>
      </c>
      <c r="C132" s="116" t="s">
        <v>585</v>
      </c>
      <c r="D132" s="116" t="s">
        <v>51</v>
      </c>
      <c r="E132" s="116">
        <v>2.0</v>
      </c>
      <c r="F132" s="117">
        <v>4000.0</v>
      </c>
      <c r="G132" s="90" t="s">
        <v>53</v>
      </c>
      <c r="H132" s="118">
        <v>46204.0</v>
      </c>
      <c r="I132" s="92" t="s">
        <v>18</v>
      </c>
      <c r="J132" s="92" t="s">
        <v>54</v>
      </c>
      <c r="K132" s="92" t="s">
        <v>83</v>
      </c>
      <c r="L132" s="92" t="s">
        <v>56</v>
      </c>
      <c r="M132" s="92" t="s">
        <v>84</v>
      </c>
      <c r="N132" s="92" t="s">
        <v>20</v>
      </c>
      <c r="O132" s="87" t="s">
        <v>59</v>
      </c>
      <c r="P132" s="87"/>
      <c r="Q132" s="87" t="s">
        <v>579</v>
      </c>
      <c r="R132" s="92" t="s">
        <v>323</v>
      </c>
      <c r="S132" s="87"/>
      <c r="T132" s="87"/>
      <c r="U132" s="94" t="str">
        <f t="array" ref="U132">IFERROR(INDEX(DFD!$D$2:$D$1048791,MATCH($Q132,DFD!$B$2:$B$1048791,0)),"")</f>
        <v/>
      </c>
      <c r="V132" s="92" t="s">
        <v>386</v>
      </c>
      <c r="W132" s="97" t="str">
        <f t="array" ref="W132">IFERROR(INDEX(DFD!$E$2:$E$1048791,MATCH($Q132,DFD!$B$2:$B$1048791,0)),"")</f>
        <v/>
      </c>
      <c r="X132" s="97" t="str">
        <f t="array" ref="X132">IFERROR(INDEX(DFD!$K$2:$K$1048791,MATCH($Q132,DFD!$B$2:$B$1048791,0)),"")</f>
        <v/>
      </c>
      <c r="Y132" s="97" t="str">
        <f t="array" ref="Y132">IFERROR(INDEX(DFD!$L$2:$L$1048790,MATCH($Q132,DFD!$B$2:$B$1048790,0)),"")</f>
        <v/>
      </c>
      <c r="Z132" s="97">
        <f t="shared" si="4"/>
        <v>45</v>
      </c>
      <c r="AA132" s="87"/>
      <c r="AB132" s="87" t="s">
        <v>72</v>
      </c>
      <c r="AC132" s="87"/>
      <c r="AD132" s="99">
        <v>46043.0</v>
      </c>
      <c r="AE132" s="119">
        <f t="shared" si="5"/>
        <v>1</v>
      </c>
    </row>
    <row r="133" ht="15.75" customHeight="1">
      <c r="A133" s="67"/>
      <c r="B133" s="67" t="s">
        <v>171</v>
      </c>
      <c r="C133" s="81" t="s">
        <v>588</v>
      </c>
      <c r="D133" s="81" t="s">
        <v>51</v>
      </c>
      <c r="E133" s="81">
        <v>1.0</v>
      </c>
      <c r="F133" s="113">
        <v>1800.0</v>
      </c>
      <c r="G133" s="73" t="s">
        <v>53</v>
      </c>
      <c r="H133" s="83">
        <v>46174.0</v>
      </c>
      <c r="I133" s="67" t="s">
        <v>18</v>
      </c>
      <c r="J133" s="67" t="s">
        <v>54</v>
      </c>
      <c r="K133" s="67" t="s">
        <v>83</v>
      </c>
      <c r="L133" s="67" t="s">
        <v>56</v>
      </c>
      <c r="M133" s="67" t="s">
        <v>84</v>
      </c>
      <c r="N133" s="67" t="s">
        <v>20</v>
      </c>
      <c r="O133" s="59" t="s">
        <v>59</v>
      </c>
      <c r="P133" s="59"/>
      <c r="Q133" s="59" t="s">
        <v>589</v>
      </c>
      <c r="R133" s="67" t="s">
        <v>323</v>
      </c>
      <c r="S133" s="59"/>
      <c r="T133" s="59"/>
      <c r="U133" s="77" t="str">
        <f t="array" ref="U133">IFERROR(INDEX(DFD!$D$2:$D$1048791,MATCH($Q133,DFD!$B$2:$B$1048791,0)),"")</f>
        <v/>
      </c>
      <c r="V133" s="77" t="str">
        <f t="array" ref="V133">IFERROR(INDEX(DFD!$F$2:$F$1048791,MATCH($Q133,DFD!$B$2:$B$1048791,0)),"")</f>
        <v/>
      </c>
      <c r="W133" s="84" t="str">
        <f t="array" ref="W133">IFERROR(INDEX(DFD!$E$2:$E$1048791,MATCH($Q133,DFD!$B$2:$B$1048791,0)),"")</f>
        <v/>
      </c>
      <c r="X133" s="84" t="str">
        <f t="array" ref="X133">IFERROR(INDEX(DFD!$K$2:$K$1048791,MATCH($Q133,DFD!$B$2:$B$1048791,0)),"")</f>
        <v/>
      </c>
      <c r="Y133" s="84" t="str">
        <f t="array" ref="Y133">IFERROR(INDEX(DFD!$L$2:$L$1048790,MATCH($Q133,DFD!$B$2:$B$1048790,0)),"")</f>
        <v/>
      </c>
      <c r="Z133" s="84">
        <f t="shared" si="4"/>
        <v>45</v>
      </c>
      <c r="AA133" s="59"/>
      <c r="AB133" s="59" t="s">
        <v>72</v>
      </c>
      <c r="AC133" s="59"/>
      <c r="AD133" s="85">
        <v>46043.0</v>
      </c>
      <c r="AE133" s="114">
        <f t="shared" si="5"/>
        <v>1</v>
      </c>
    </row>
    <row r="134" ht="15.75" customHeight="1">
      <c r="A134" s="92"/>
      <c r="B134" s="92" t="s">
        <v>95</v>
      </c>
      <c r="C134" s="116" t="s">
        <v>588</v>
      </c>
      <c r="D134" s="116" t="s">
        <v>51</v>
      </c>
      <c r="E134" s="116">
        <v>1.0</v>
      </c>
      <c r="F134" s="117">
        <v>1800.0</v>
      </c>
      <c r="G134" s="90" t="s">
        <v>53</v>
      </c>
      <c r="H134" s="118">
        <v>46174.0</v>
      </c>
      <c r="I134" s="92" t="s">
        <v>18</v>
      </c>
      <c r="J134" s="92" t="s">
        <v>54</v>
      </c>
      <c r="K134" s="92" t="s">
        <v>83</v>
      </c>
      <c r="L134" s="92" t="s">
        <v>56</v>
      </c>
      <c r="M134" s="92" t="s">
        <v>84</v>
      </c>
      <c r="N134" s="92" t="s">
        <v>20</v>
      </c>
      <c r="O134" s="87" t="s">
        <v>59</v>
      </c>
      <c r="P134" s="87"/>
      <c r="Q134" s="87" t="s">
        <v>589</v>
      </c>
      <c r="R134" s="92" t="s">
        <v>323</v>
      </c>
      <c r="S134" s="87"/>
      <c r="T134" s="87"/>
      <c r="U134" s="94" t="str">
        <f t="array" ref="U134">IFERROR(INDEX(DFD!$D$2:$D$1048791,MATCH($Q134,DFD!$B$2:$B$1048791,0)),"")</f>
        <v/>
      </c>
      <c r="V134" s="94" t="str">
        <f t="array" ref="V134">IFERROR(INDEX(DFD!$F$2:$F$1048791,MATCH($Q134,DFD!$B$2:$B$1048791,0)),"")</f>
        <v/>
      </c>
      <c r="W134" s="97" t="str">
        <f t="array" ref="W134">IFERROR(INDEX(DFD!$E$2:$E$1048791,MATCH($Q134,DFD!$B$2:$B$1048791,0)),"")</f>
        <v/>
      </c>
      <c r="X134" s="97" t="str">
        <f t="array" ref="X134">IFERROR(INDEX(DFD!$K$2:$K$1048791,MATCH($Q134,DFD!$B$2:$B$1048791,0)),"")</f>
        <v/>
      </c>
      <c r="Y134" s="97" t="str">
        <f t="array" ref="Y134">IFERROR(INDEX(DFD!$L$2:$L$1048790,MATCH($Q134,DFD!$B$2:$B$1048790,0)),"")</f>
        <v/>
      </c>
      <c r="Z134" s="97">
        <f t="shared" si="4"/>
        <v>45</v>
      </c>
      <c r="AA134" s="87"/>
      <c r="AB134" s="87" t="s">
        <v>72</v>
      </c>
      <c r="AC134" s="87"/>
      <c r="AD134" s="99">
        <v>46043.0</v>
      </c>
      <c r="AE134" s="119">
        <f t="shared" si="5"/>
        <v>1</v>
      </c>
    </row>
    <row r="135" ht="15.75" customHeight="1">
      <c r="A135" s="67"/>
      <c r="B135" s="67" t="s">
        <v>94</v>
      </c>
      <c r="C135" s="81" t="s">
        <v>588</v>
      </c>
      <c r="D135" s="81" t="s">
        <v>51</v>
      </c>
      <c r="E135" s="81">
        <v>1.0</v>
      </c>
      <c r="F135" s="113">
        <v>1800.0</v>
      </c>
      <c r="G135" s="73" t="s">
        <v>53</v>
      </c>
      <c r="H135" s="83">
        <v>46174.0</v>
      </c>
      <c r="I135" s="67" t="s">
        <v>18</v>
      </c>
      <c r="J135" s="67" t="s">
        <v>54</v>
      </c>
      <c r="K135" s="67" t="s">
        <v>83</v>
      </c>
      <c r="L135" s="67" t="s">
        <v>56</v>
      </c>
      <c r="M135" s="67" t="s">
        <v>84</v>
      </c>
      <c r="N135" s="67" t="s">
        <v>20</v>
      </c>
      <c r="O135" s="59" t="s">
        <v>59</v>
      </c>
      <c r="P135" s="59"/>
      <c r="Q135" s="59" t="s">
        <v>589</v>
      </c>
      <c r="R135" s="67" t="s">
        <v>323</v>
      </c>
      <c r="S135" s="59"/>
      <c r="T135" s="59"/>
      <c r="U135" s="77" t="str">
        <f t="array" ref="U135">IFERROR(INDEX(DFD!$D$2:$D$1048791,MATCH($Q135,DFD!$B$2:$B$1048791,0)),"")</f>
        <v/>
      </c>
      <c r="V135" s="77" t="str">
        <f t="array" ref="V135">IFERROR(INDEX(DFD!$F$2:$F$1048791,MATCH($Q135,DFD!$B$2:$B$1048791,0)),"")</f>
        <v/>
      </c>
      <c r="W135" s="84" t="str">
        <f t="array" ref="W135">IFERROR(INDEX(DFD!$E$2:$E$1048791,MATCH($Q135,DFD!$B$2:$B$1048791,0)),"")</f>
        <v/>
      </c>
      <c r="X135" s="84" t="str">
        <f t="array" ref="X135">IFERROR(INDEX(DFD!$K$2:$K$1048791,MATCH($Q135,DFD!$B$2:$B$1048791,0)),"")</f>
        <v/>
      </c>
      <c r="Y135" s="84" t="str">
        <f t="array" ref="Y135">IFERROR(INDEX(DFD!$L$2:$L$1048790,MATCH($Q135,DFD!$B$2:$B$1048790,0)),"")</f>
        <v/>
      </c>
      <c r="Z135" s="84">
        <f t="shared" si="4"/>
        <v>45</v>
      </c>
      <c r="AA135" s="59"/>
      <c r="AB135" s="59" t="s">
        <v>72</v>
      </c>
      <c r="AC135" s="59"/>
      <c r="AD135" s="85">
        <v>46043.0</v>
      </c>
      <c r="AE135" s="114">
        <f t="shared" si="5"/>
        <v>1</v>
      </c>
    </row>
    <row r="136" ht="15.75" customHeight="1">
      <c r="A136" s="92"/>
      <c r="B136" s="92" t="s">
        <v>109</v>
      </c>
      <c r="C136" s="116" t="s">
        <v>588</v>
      </c>
      <c r="D136" s="116" t="s">
        <v>51</v>
      </c>
      <c r="E136" s="116">
        <v>1.0</v>
      </c>
      <c r="F136" s="117">
        <v>1800.0</v>
      </c>
      <c r="G136" s="90" t="s">
        <v>53</v>
      </c>
      <c r="H136" s="118">
        <v>46174.0</v>
      </c>
      <c r="I136" s="92" t="s">
        <v>18</v>
      </c>
      <c r="J136" s="92" t="s">
        <v>54</v>
      </c>
      <c r="K136" s="92" t="s">
        <v>83</v>
      </c>
      <c r="L136" s="92" t="s">
        <v>56</v>
      </c>
      <c r="M136" s="92" t="s">
        <v>84</v>
      </c>
      <c r="N136" s="92" t="s">
        <v>20</v>
      </c>
      <c r="O136" s="87" t="s">
        <v>59</v>
      </c>
      <c r="P136" s="87"/>
      <c r="Q136" s="87" t="s">
        <v>589</v>
      </c>
      <c r="R136" s="92" t="s">
        <v>323</v>
      </c>
      <c r="S136" s="87"/>
      <c r="T136" s="87"/>
      <c r="U136" s="94" t="str">
        <f t="array" ref="U136">IFERROR(INDEX(DFD!$D$2:$D$1048791,MATCH($Q136,DFD!$B$2:$B$1048791,0)),"")</f>
        <v/>
      </c>
      <c r="V136" s="94" t="str">
        <f t="array" ref="V136">IFERROR(INDEX(DFD!$F$2:$F$1048791,MATCH($Q136,DFD!$B$2:$B$1048791,0)),"")</f>
        <v/>
      </c>
      <c r="W136" s="97" t="str">
        <f t="array" ref="W136">IFERROR(INDEX(DFD!$E$2:$E$1048791,MATCH($Q136,DFD!$B$2:$B$1048791,0)),"")</f>
        <v/>
      </c>
      <c r="X136" s="97" t="str">
        <f t="array" ref="X136">IFERROR(INDEX(DFD!$K$2:$K$1048791,MATCH($Q136,DFD!$B$2:$B$1048791,0)),"")</f>
        <v/>
      </c>
      <c r="Y136" s="97" t="str">
        <f t="array" ref="Y136">IFERROR(INDEX(DFD!$L$2:$L$1048790,MATCH($Q136,DFD!$B$2:$B$1048790,0)),"")</f>
        <v/>
      </c>
      <c r="Z136" s="97">
        <f t="shared" si="4"/>
        <v>45</v>
      </c>
      <c r="AA136" s="87"/>
      <c r="AB136" s="87" t="s">
        <v>72</v>
      </c>
      <c r="AC136" s="87"/>
      <c r="AD136" s="99">
        <v>46043.0</v>
      </c>
      <c r="AE136" s="119">
        <f t="shared" si="5"/>
        <v>1</v>
      </c>
    </row>
    <row r="137" ht="15.75" customHeight="1">
      <c r="A137" s="67"/>
      <c r="B137" s="104" t="s">
        <v>155</v>
      </c>
      <c r="C137" s="81" t="s">
        <v>595</v>
      </c>
      <c r="D137" s="81" t="s">
        <v>51</v>
      </c>
      <c r="E137" s="81">
        <v>4.0</v>
      </c>
      <c r="F137" s="113">
        <v>12000.0</v>
      </c>
      <c r="G137" s="73" t="s">
        <v>53</v>
      </c>
      <c r="H137" s="83">
        <v>46235.0</v>
      </c>
      <c r="I137" s="67" t="s">
        <v>18</v>
      </c>
      <c r="J137" s="67" t="s">
        <v>54</v>
      </c>
      <c r="K137" s="67" t="s">
        <v>83</v>
      </c>
      <c r="L137" s="67" t="s">
        <v>56</v>
      </c>
      <c r="M137" s="67" t="s">
        <v>84</v>
      </c>
      <c r="N137" s="67" t="s">
        <v>20</v>
      </c>
      <c r="O137" s="59" t="s">
        <v>59</v>
      </c>
      <c r="P137" s="59"/>
      <c r="Q137" s="59" t="s">
        <v>589</v>
      </c>
      <c r="R137" s="67" t="s">
        <v>323</v>
      </c>
      <c r="S137" s="59"/>
      <c r="T137" s="59"/>
      <c r="U137" s="77" t="str">
        <f t="array" ref="U137">IFERROR(INDEX(DFD!$D$2:$D$1048791,MATCH($Q137,DFD!$B$2:$B$1048791,0)),"")</f>
        <v/>
      </c>
      <c r="V137" s="77" t="str">
        <f t="array" ref="V137">IFERROR(INDEX(DFD!$F$2:$F$1048791,MATCH($Q137,DFD!$B$2:$B$1048791,0)),"")</f>
        <v/>
      </c>
      <c r="W137" s="84" t="str">
        <f t="array" ref="W137">IFERROR(INDEX(DFD!$E$2:$E$1048791,MATCH($Q137,DFD!$B$2:$B$1048791,0)),"")</f>
        <v/>
      </c>
      <c r="X137" s="84" t="str">
        <f t="array" ref="X137">IFERROR(INDEX(DFD!$K$2:$K$1048791,MATCH($Q137,DFD!$B$2:$B$1048791,0)),"")</f>
        <v/>
      </c>
      <c r="Y137" s="84" t="str">
        <f t="array" ref="Y137">IFERROR(INDEX(DFD!$L$2:$L$1048790,MATCH($Q137,DFD!$B$2:$B$1048790,0)),"")</f>
        <v/>
      </c>
      <c r="Z137" s="84">
        <f t="shared" si="4"/>
        <v>45</v>
      </c>
      <c r="AA137" s="59"/>
      <c r="AB137" s="59" t="s">
        <v>72</v>
      </c>
      <c r="AC137" s="59"/>
      <c r="AD137" s="85">
        <v>46043.0</v>
      </c>
      <c r="AE137" s="114">
        <f t="shared" si="5"/>
        <v>1</v>
      </c>
    </row>
    <row r="138" ht="15.75" customHeight="1">
      <c r="A138" s="92"/>
      <c r="B138" s="92" t="s">
        <v>162</v>
      </c>
      <c r="C138" s="116" t="s">
        <v>595</v>
      </c>
      <c r="D138" s="116" t="s">
        <v>51</v>
      </c>
      <c r="E138" s="116">
        <v>2.0</v>
      </c>
      <c r="F138" s="117">
        <v>6000.0</v>
      </c>
      <c r="G138" s="90" t="s">
        <v>53</v>
      </c>
      <c r="H138" s="118">
        <v>46204.0</v>
      </c>
      <c r="I138" s="92" t="s">
        <v>18</v>
      </c>
      <c r="J138" s="92" t="s">
        <v>54</v>
      </c>
      <c r="K138" s="92" t="s">
        <v>83</v>
      </c>
      <c r="L138" s="92" t="s">
        <v>56</v>
      </c>
      <c r="M138" s="92" t="s">
        <v>84</v>
      </c>
      <c r="N138" s="92" t="s">
        <v>20</v>
      </c>
      <c r="O138" s="87" t="s">
        <v>59</v>
      </c>
      <c r="P138" s="87"/>
      <c r="Q138" s="87" t="s">
        <v>589</v>
      </c>
      <c r="R138" s="92" t="s">
        <v>323</v>
      </c>
      <c r="S138" s="87"/>
      <c r="T138" s="87"/>
      <c r="U138" s="94" t="str">
        <f t="array" ref="U138">IFERROR(INDEX(DFD!$D$2:$D$1048791,MATCH($Q138,DFD!$B$2:$B$1048791,0)),"")</f>
        <v/>
      </c>
      <c r="V138" s="94" t="str">
        <f t="array" ref="V138">IFERROR(INDEX(DFD!$F$2:$F$1048791,MATCH($Q138,DFD!$B$2:$B$1048791,0)),"")</f>
        <v/>
      </c>
      <c r="W138" s="97" t="str">
        <f t="array" ref="W138">IFERROR(INDEX(DFD!$E$2:$E$1048791,MATCH($Q138,DFD!$B$2:$B$1048791,0)),"")</f>
        <v/>
      </c>
      <c r="X138" s="97" t="str">
        <f t="array" ref="X138">IFERROR(INDEX(DFD!$K$2:$K$1048791,MATCH($Q138,DFD!$B$2:$B$1048791,0)),"")</f>
        <v/>
      </c>
      <c r="Y138" s="97" t="str">
        <f t="array" ref="Y138">IFERROR(INDEX(DFD!$L$2:$L$1048790,MATCH($Q138,DFD!$B$2:$B$1048790,0)),"")</f>
        <v/>
      </c>
      <c r="Z138" s="97">
        <f t="shared" si="4"/>
        <v>45</v>
      </c>
      <c r="AA138" s="87"/>
      <c r="AB138" s="87" t="s">
        <v>72</v>
      </c>
      <c r="AC138" s="87"/>
      <c r="AD138" s="99">
        <v>46043.0</v>
      </c>
      <c r="AE138" s="119">
        <f t="shared" si="5"/>
        <v>1</v>
      </c>
    </row>
    <row r="139" ht="15.75" customHeight="1">
      <c r="A139" s="67"/>
      <c r="B139" s="67" t="s">
        <v>155</v>
      </c>
      <c r="C139" s="81" t="s">
        <v>600</v>
      </c>
      <c r="D139" s="81" t="s">
        <v>51</v>
      </c>
      <c r="E139" s="81">
        <v>1.0</v>
      </c>
      <c r="F139" s="113">
        <v>3500.0</v>
      </c>
      <c r="G139" s="73" t="s">
        <v>53</v>
      </c>
      <c r="H139" s="83">
        <v>46174.0</v>
      </c>
      <c r="I139" s="67" t="s">
        <v>18</v>
      </c>
      <c r="J139" s="67" t="s">
        <v>54</v>
      </c>
      <c r="K139" s="67" t="s">
        <v>83</v>
      </c>
      <c r="L139" s="67" t="s">
        <v>197</v>
      </c>
      <c r="M139" s="67" t="s">
        <v>84</v>
      </c>
      <c r="N139" s="67" t="s">
        <v>20</v>
      </c>
      <c r="O139" s="59" t="s">
        <v>59</v>
      </c>
      <c r="P139" s="59"/>
      <c r="Q139" s="59" t="s">
        <v>589</v>
      </c>
      <c r="R139" s="67" t="s">
        <v>323</v>
      </c>
      <c r="S139" s="59"/>
      <c r="T139" s="59"/>
      <c r="U139" s="77" t="str">
        <f t="array" ref="U139">IFERROR(INDEX(DFD!$D$2:$D$1048791,MATCH($Q139,DFD!$B$2:$B$1048791,0)),"")</f>
        <v/>
      </c>
      <c r="V139" s="77" t="str">
        <f t="array" ref="V139">IFERROR(INDEX(DFD!$F$2:$F$1048791,MATCH($Q139,DFD!$B$2:$B$1048791,0)),"")</f>
        <v/>
      </c>
      <c r="W139" s="84" t="str">
        <f t="array" ref="W139">IFERROR(INDEX(DFD!$E$2:$E$1048791,MATCH($Q139,DFD!$B$2:$B$1048791,0)),"")</f>
        <v/>
      </c>
      <c r="X139" s="84" t="str">
        <f t="array" ref="X139">IFERROR(INDEX(DFD!$K$2:$K$1048791,MATCH($Q139,DFD!$B$2:$B$1048791,0)),"")</f>
        <v/>
      </c>
      <c r="Y139" s="84" t="str">
        <f t="array" ref="Y139">IFERROR(INDEX(DFD!$L$2:$L$1048790,MATCH($Q139,DFD!$B$2:$B$1048790,0)),"")</f>
        <v/>
      </c>
      <c r="Z139" s="84">
        <f t="shared" si="4"/>
        <v>45</v>
      </c>
      <c r="AA139" s="59"/>
      <c r="AB139" s="59" t="s">
        <v>72</v>
      </c>
      <c r="AC139" s="59"/>
      <c r="AD139" s="85">
        <v>46043.0</v>
      </c>
      <c r="AE139" s="86">
        <f t="shared" si="5"/>
        <v>1</v>
      </c>
    </row>
    <row r="140" ht="15.75" customHeight="1">
      <c r="A140" s="92"/>
      <c r="B140" s="92" t="s">
        <v>92</v>
      </c>
      <c r="C140" s="116" t="s">
        <v>603</v>
      </c>
      <c r="D140" s="116" t="s">
        <v>51</v>
      </c>
      <c r="E140" s="116">
        <v>2.0</v>
      </c>
      <c r="F140" s="117">
        <v>400.0</v>
      </c>
      <c r="G140" s="90" t="s">
        <v>53</v>
      </c>
      <c r="H140" s="118">
        <v>46174.0</v>
      </c>
      <c r="I140" s="92" t="s">
        <v>18</v>
      </c>
      <c r="J140" s="92" t="s">
        <v>54</v>
      </c>
      <c r="K140" s="92" t="s">
        <v>83</v>
      </c>
      <c r="L140" s="92" t="s">
        <v>197</v>
      </c>
      <c r="M140" s="92" t="s">
        <v>84</v>
      </c>
      <c r="N140" s="92" t="s">
        <v>20</v>
      </c>
      <c r="O140" s="87" t="s">
        <v>59</v>
      </c>
      <c r="P140" s="87"/>
      <c r="Q140" s="87" t="s">
        <v>589</v>
      </c>
      <c r="R140" s="92" t="s">
        <v>323</v>
      </c>
      <c r="S140" s="87"/>
      <c r="T140" s="87"/>
      <c r="U140" s="94" t="str">
        <f t="array" ref="U140">IFERROR(INDEX(DFD!$D$2:$D$1048791,MATCH($Q140,DFD!$B$2:$B$1048791,0)),"")</f>
        <v/>
      </c>
      <c r="V140" s="94" t="str">
        <f t="array" ref="V140">IFERROR(INDEX(DFD!$F$2:$F$1048791,MATCH($Q140,DFD!$B$2:$B$1048791,0)),"")</f>
        <v/>
      </c>
      <c r="W140" s="97" t="str">
        <f t="array" ref="W140">IFERROR(INDEX(DFD!$E$2:$E$1048791,MATCH($Q140,DFD!$B$2:$B$1048791,0)),"")</f>
        <v/>
      </c>
      <c r="X140" s="97" t="str">
        <f t="array" ref="X140">IFERROR(INDEX(DFD!$K$2:$K$1048791,MATCH($Q140,DFD!$B$2:$B$1048791,0)),"")</f>
        <v/>
      </c>
      <c r="Y140" s="97" t="str">
        <f t="array" ref="Y140">IFERROR(INDEX(DFD!$L$2:$L$1048790,MATCH($Q140,DFD!$B$2:$B$1048790,0)),"")</f>
        <v/>
      </c>
      <c r="Z140" s="97">
        <f t="shared" si="4"/>
        <v>45</v>
      </c>
      <c r="AA140" s="87"/>
      <c r="AB140" s="87" t="s">
        <v>72</v>
      </c>
      <c r="AC140" s="87"/>
      <c r="AD140" s="99">
        <v>46043.0</v>
      </c>
      <c r="AE140" s="119">
        <f t="shared" si="5"/>
        <v>1</v>
      </c>
    </row>
    <row r="141" ht="15.75" customHeight="1">
      <c r="A141" s="67"/>
      <c r="B141" s="67" t="s">
        <v>95</v>
      </c>
      <c r="C141" s="81" t="s">
        <v>607</v>
      </c>
      <c r="D141" s="81" t="s">
        <v>51</v>
      </c>
      <c r="E141" s="81">
        <v>2.0</v>
      </c>
      <c r="F141" s="113">
        <v>120.0</v>
      </c>
      <c r="G141" s="73" t="s">
        <v>53</v>
      </c>
      <c r="H141" s="83">
        <v>46143.0</v>
      </c>
      <c r="I141" s="67" t="s">
        <v>18</v>
      </c>
      <c r="J141" s="67" t="s">
        <v>54</v>
      </c>
      <c r="K141" s="67" t="s">
        <v>83</v>
      </c>
      <c r="L141" s="67" t="s">
        <v>197</v>
      </c>
      <c r="M141" s="67" t="s">
        <v>84</v>
      </c>
      <c r="N141" s="67" t="s">
        <v>20</v>
      </c>
      <c r="O141" s="59" t="s">
        <v>59</v>
      </c>
      <c r="P141" s="59"/>
      <c r="Q141" s="59" t="s">
        <v>589</v>
      </c>
      <c r="R141" s="67" t="s">
        <v>323</v>
      </c>
      <c r="S141" s="59"/>
      <c r="T141" s="59"/>
      <c r="U141" s="77" t="str">
        <f t="array" ref="U141">IFERROR(INDEX(DFD!$D$2:$D$1048791,MATCH($Q141,DFD!$B$2:$B$1048791,0)),"")</f>
        <v/>
      </c>
      <c r="V141" s="77" t="str">
        <f t="array" ref="V141">IFERROR(INDEX(DFD!$F$2:$F$1048791,MATCH($Q141,DFD!$B$2:$B$1048791,0)),"")</f>
        <v/>
      </c>
      <c r="W141" s="84" t="str">
        <f t="array" ref="W141">IFERROR(INDEX(DFD!$E$2:$E$1048791,MATCH($Q141,DFD!$B$2:$B$1048791,0)),"")</f>
        <v/>
      </c>
      <c r="X141" s="84" t="str">
        <f t="array" ref="X141">IFERROR(INDEX(DFD!$K$2:$K$1048791,MATCH($Q141,DFD!$B$2:$B$1048791,0)),"")</f>
        <v/>
      </c>
      <c r="Y141" s="84" t="str">
        <f t="array" ref="Y141">IFERROR(INDEX(DFD!$L$2:$L$1048790,MATCH($Q141,DFD!$B$2:$B$1048790,0)),"")</f>
        <v/>
      </c>
      <c r="Z141" s="84">
        <f t="shared" si="4"/>
        <v>45</v>
      </c>
      <c r="AA141" s="59"/>
      <c r="AB141" s="59" t="s">
        <v>72</v>
      </c>
      <c r="AC141" s="59"/>
      <c r="AD141" s="85">
        <v>46043.0</v>
      </c>
      <c r="AE141" s="114">
        <f t="shared" si="5"/>
        <v>1</v>
      </c>
    </row>
    <row r="142" ht="15.75" customHeight="1">
      <c r="A142" s="92"/>
      <c r="B142" s="92" t="s">
        <v>155</v>
      </c>
      <c r="C142" s="116" t="s">
        <v>609</v>
      </c>
      <c r="D142" s="116" t="s">
        <v>51</v>
      </c>
      <c r="E142" s="116">
        <v>6.0</v>
      </c>
      <c r="F142" s="117">
        <v>3480.0</v>
      </c>
      <c r="G142" s="90" t="s">
        <v>53</v>
      </c>
      <c r="H142" s="118">
        <v>46174.0</v>
      </c>
      <c r="I142" s="92" t="s">
        <v>18</v>
      </c>
      <c r="J142" s="92" t="s">
        <v>54</v>
      </c>
      <c r="K142" s="92" t="s">
        <v>83</v>
      </c>
      <c r="L142" s="92" t="s">
        <v>197</v>
      </c>
      <c r="M142" s="92" t="s">
        <v>84</v>
      </c>
      <c r="N142" s="92" t="s">
        <v>20</v>
      </c>
      <c r="O142" s="87" t="s">
        <v>59</v>
      </c>
      <c r="P142" s="87"/>
      <c r="Q142" s="87" t="s">
        <v>589</v>
      </c>
      <c r="R142" s="92" t="s">
        <v>323</v>
      </c>
      <c r="S142" s="87"/>
      <c r="T142" s="87"/>
      <c r="U142" s="94" t="str">
        <f t="array" ref="U142">IFERROR(INDEX(DFD!$D$2:$D$1048791,MATCH($Q142,DFD!$B$2:$B$1048791,0)),"")</f>
        <v/>
      </c>
      <c r="V142" s="94" t="str">
        <f t="array" ref="V142">IFERROR(INDEX(DFD!$F$2:$F$1048791,MATCH($Q142,DFD!$B$2:$B$1048791,0)),"")</f>
        <v/>
      </c>
      <c r="W142" s="97" t="str">
        <f t="array" ref="W142">IFERROR(INDEX(DFD!$E$2:$E$1048791,MATCH($Q142,DFD!$B$2:$B$1048791,0)),"")</f>
        <v/>
      </c>
      <c r="X142" s="97" t="str">
        <f t="array" ref="X142">IFERROR(INDEX(DFD!$K$2:$K$1048791,MATCH($Q142,DFD!$B$2:$B$1048791,0)),"")</f>
        <v/>
      </c>
      <c r="Y142" s="97" t="str">
        <f t="array" ref="Y142">IFERROR(INDEX(DFD!$L$2:$L$1048790,MATCH($Q142,DFD!$B$2:$B$1048790,0)),"")</f>
        <v/>
      </c>
      <c r="Z142" s="97">
        <f t="shared" si="4"/>
        <v>45</v>
      </c>
      <c r="AA142" s="87"/>
      <c r="AB142" s="87" t="s">
        <v>72</v>
      </c>
      <c r="AC142" s="87"/>
      <c r="AD142" s="99">
        <v>46043.0</v>
      </c>
      <c r="AE142" s="119">
        <f t="shared" si="5"/>
        <v>1</v>
      </c>
    </row>
    <row r="143" ht="15.75" customHeight="1">
      <c r="A143" s="67"/>
      <c r="B143" s="67" t="s">
        <v>155</v>
      </c>
      <c r="C143" s="81" t="s">
        <v>612</v>
      </c>
      <c r="D143" s="81" t="s">
        <v>51</v>
      </c>
      <c r="E143" s="81">
        <v>1.0</v>
      </c>
      <c r="F143" s="113">
        <v>1000.0</v>
      </c>
      <c r="G143" s="73" t="s">
        <v>53</v>
      </c>
      <c r="H143" s="83">
        <v>46174.0</v>
      </c>
      <c r="I143" s="67" t="s">
        <v>18</v>
      </c>
      <c r="J143" s="67" t="s">
        <v>54</v>
      </c>
      <c r="K143" s="67" t="s">
        <v>83</v>
      </c>
      <c r="L143" s="67" t="s">
        <v>56</v>
      </c>
      <c r="M143" s="67" t="s">
        <v>84</v>
      </c>
      <c r="N143" s="67" t="s">
        <v>20</v>
      </c>
      <c r="O143" s="59" t="s">
        <v>59</v>
      </c>
      <c r="P143" s="59"/>
      <c r="Q143" s="59" t="s">
        <v>589</v>
      </c>
      <c r="R143" s="67" t="s">
        <v>531</v>
      </c>
      <c r="S143" s="59"/>
      <c r="T143" s="59"/>
      <c r="U143" s="77" t="str">
        <f t="array" ref="U143">IFERROR(INDEX(DFD!$D$2:$D$1048791,MATCH($Q143,DFD!$B$2:$B$1048791,0)),"")</f>
        <v/>
      </c>
      <c r="V143" s="77" t="str">
        <f t="array" ref="V143">IFERROR(INDEX(DFD!$F$2:$F$1048791,MATCH($Q143,DFD!$B$2:$B$1048791,0)),"")</f>
        <v/>
      </c>
      <c r="W143" s="84" t="str">
        <f t="array" ref="W143">IFERROR(INDEX(DFD!$E$2:$E$1048791,MATCH($Q143,DFD!$B$2:$B$1048791,0)),"")</f>
        <v/>
      </c>
      <c r="X143" s="84" t="str">
        <f t="array" ref="X143">IFERROR(INDEX(DFD!$K$2:$K$1048791,MATCH($Q143,DFD!$B$2:$B$1048791,0)),"")</f>
        <v/>
      </c>
      <c r="Y143" s="84" t="str">
        <f t="array" ref="Y143">IFERROR(INDEX(DFD!$L$2:$L$1048790,MATCH($Q143,DFD!$B$2:$B$1048790,0)),"")</f>
        <v/>
      </c>
      <c r="Z143" s="84">
        <f t="shared" si="4"/>
        <v>45</v>
      </c>
      <c r="AA143" s="59"/>
      <c r="AB143" s="59" t="s">
        <v>72</v>
      </c>
      <c r="AC143" s="59"/>
      <c r="AD143" s="85">
        <v>46043.0</v>
      </c>
      <c r="AE143" s="114">
        <f t="shared" si="5"/>
        <v>1</v>
      </c>
    </row>
    <row r="144" ht="15.75" customHeight="1">
      <c r="A144" s="92"/>
      <c r="B144" s="92" t="s">
        <v>101</v>
      </c>
      <c r="C144" s="116" t="s">
        <v>617</v>
      </c>
      <c r="D144" s="116" t="s">
        <v>51</v>
      </c>
      <c r="E144" s="116">
        <v>1.0</v>
      </c>
      <c r="F144" s="117">
        <v>160000.0</v>
      </c>
      <c r="G144" s="90" t="s">
        <v>53</v>
      </c>
      <c r="H144" s="118">
        <v>46266.0</v>
      </c>
      <c r="I144" s="92" t="s">
        <v>18</v>
      </c>
      <c r="J144" s="92" t="s">
        <v>54</v>
      </c>
      <c r="K144" s="92" t="s">
        <v>83</v>
      </c>
      <c r="L144" s="92" t="s">
        <v>56</v>
      </c>
      <c r="M144" s="92" t="s">
        <v>84</v>
      </c>
      <c r="N144" s="92" t="s">
        <v>20</v>
      </c>
      <c r="O144" s="87" t="s">
        <v>59</v>
      </c>
      <c r="P144" s="87"/>
      <c r="Q144" s="87" t="s">
        <v>618</v>
      </c>
      <c r="R144" s="92" t="s">
        <v>442</v>
      </c>
      <c r="S144" s="87"/>
      <c r="T144" s="87"/>
      <c r="U144" s="94" t="str">
        <f t="array" ref="U144">IFERROR(INDEX(DFD!$D$2:$D$1048791,MATCH($Q144,DFD!$B$2:$B$1048791,0)),"")</f>
        <v/>
      </c>
      <c r="V144" s="94" t="s">
        <v>62</v>
      </c>
      <c r="W144" s="97" t="str">
        <f t="array" ref="W144">IFERROR(INDEX(DFD!$E$2:$E$1048791,MATCH($Q144,DFD!$B$2:$B$1048791,0)),"")</f>
        <v/>
      </c>
      <c r="X144" s="97" t="str">
        <f t="array" ref="X144">IFERROR(INDEX(DFD!$K$2:$K$1048791,MATCH($Q144,DFD!$B$2:$B$1048791,0)),"")</f>
        <v/>
      </c>
      <c r="Y144" s="97" t="str">
        <f t="array" ref="Y144">IFERROR(INDEX(DFD!$L$2:$L$1048790,MATCH($Q144,DFD!$B$2:$B$1048790,0)),"")</f>
        <v/>
      </c>
      <c r="Z144" s="97">
        <f t="shared" si="4"/>
        <v>45</v>
      </c>
      <c r="AA144" s="87"/>
      <c r="AB144" s="87" t="s">
        <v>72</v>
      </c>
      <c r="AC144" s="87"/>
      <c r="AD144" s="99">
        <v>46043.0</v>
      </c>
      <c r="AE144" s="119">
        <f t="shared" si="5"/>
        <v>1</v>
      </c>
    </row>
    <row r="145" ht="15.75" customHeight="1">
      <c r="A145" s="67"/>
      <c r="B145" s="104" t="s">
        <v>101</v>
      </c>
      <c r="C145" s="81" t="s">
        <v>622</v>
      </c>
      <c r="D145" s="81" t="s">
        <v>51</v>
      </c>
      <c r="E145" s="81">
        <v>2.0</v>
      </c>
      <c r="F145" s="113">
        <v>252000.0</v>
      </c>
      <c r="G145" s="73" t="s">
        <v>53</v>
      </c>
      <c r="H145" s="83">
        <v>46266.0</v>
      </c>
      <c r="I145" s="67" t="s">
        <v>18</v>
      </c>
      <c r="J145" s="67" t="s">
        <v>54</v>
      </c>
      <c r="K145" s="67" t="s">
        <v>83</v>
      </c>
      <c r="L145" s="67" t="s">
        <v>56</v>
      </c>
      <c r="M145" s="67" t="s">
        <v>84</v>
      </c>
      <c r="N145" s="67" t="s">
        <v>20</v>
      </c>
      <c r="O145" s="59" t="s">
        <v>59</v>
      </c>
      <c r="P145" s="59"/>
      <c r="Q145" s="59" t="s">
        <v>625</v>
      </c>
      <c r="R145" s="67" t="s">
        <v>442</v>
      </c>
      <c r="S145" s="59"/>
      <c r="T145" s="59"/>
      <c r="U145" s="77" t="str">
        <f t="array" ref="U145">IFERROR(INDEX(DFD!$D$2:$D$1048791,MATCH($Q145,DFD!$B$2:$B$1048791,0)),"")</f>
        <v/>
      </c>
      <c r="V145" s="77" t="str">
        <f t="array" ref="V145">IFERROR(INDEX(DFD!$F$2:$F$1048791,MATCH($Q145,DFD!$B$2:$B$1048791,0)),"")</f>
        <v/>
      </c>
      <c r="W145" s="84" t="str">
        <f t="array" ref="W145">IFERROR(INDEX(DFD!$E$2:$E$1048791,MATCH($Q145,DFD!$B$2:$B$1048791,0)),"")</f>
        <v/>
      </c>
      <c r="X145" s="84" t="str">
        <f t="array" ref="X145">IFERROR(INDEX(DFD!$K$2:$K$1048791,MATCH($Q145,DFD!$B$2:$B$1048791,0)),"")</f>
        <v/>
      </c>
      <c r="Y145" s="84" t="str">
        <f t="array" ref="Y145">IFERROR(INDEX(DFD!$L$2:$L$1048790,MATCH($Q145,DFD!$B$2:$B$1048790,0)),"")</f>
        <v/>
      </c>
      <c r="Z145" s="84">
        <f t="shared" si="4"/>
        <v>45</v>
      </c>
      <c r="AA145" s="59"/>
      <c r="AB145" s="59" t="s">
        <v>72</v>
      </c>
      <c r="AC145" s="59"/>
      <c r="AD145" s="85">
        <v>46043.0</v>
      </c>
      <c r="AE145" s="114">
        <f t="shared" si="5"/>
        <v>1</v>
      </c>
    </row>
    <row r="146" ht="15.75" customHeight="1">
      <c r="A146" s="92"/>
      <c r="B146" s="92" t="s">
        <v>101</v>
      </c>
      <c r="C146" s="116" t="s">
        <v>629</v>
      </c>
      <c r="D146" s="116" t="s">
        <v>51</v>
      </c>
      <c r="E146" s="116">
        <v>4.0</v>
      </c>
      <c r="F146" s="117">
        <v>36960.0</v>
      </c>
      <c r="G146" s="90" t="s">
        <v>53</v>
      </c>
      <c r="H146" s="118">
        <v>46235.0</v>
      </c>
      <c r="I146" s="92" t="s">
        <v>18</v>
      </c>
      <c r="J146" s="92" t="s">
        <v>54</v>
      </c>
      <c r="K146" s="92" t="s">
        <v>83</v>
      </c>
      <c r="L146" s="92" t="s">
        <v>56</v>
      </c>
      <c r="M146" s="92" t="s">
        <v>84</v>
      </c>
      <c r="N146" s="92" t="s">
        <v>20</v>
      </c>
      <c r="O146" s="87" t="s">
        <v>59</v>
      </c>
      <c r="P146" s="87"/>
      <c r="Q146" s="87" t="s">
        <v>625</v>
      </c>
      <c r="R146" s="92" t="s">
        <v>442</v>
      </c>
      <c r="S146" s="87"/>
      <c r="T146" s="87"/>
      <c r="U146" s="94" t="str">
        <f t="array" ref="U146">IFERROR(INDEX(DFD!$D$2:$D$1048791,MATCH($Q146,DFD!$B$2:$B$1048791,0)),"")</f>
        <v/>
      </c>
      <c r="V146" s="94" t="str">
        <f t="array" ref="V146">IFERROR(INDEX(DFD!$F$2:$F$1048791,MATCH($Q146,DFD!$B$2:$B$1048791,0)),"")</f>
        <v/>
      </c>
      <c r="W146" s="97" t="str">
        <f t="array" ref="W146">IFERROR(INDEX(DFD!$E$2:$E$1048791,MATCH($Q146,DFD!$B$2:$B$1048791,0)),"")</f>
        <v/>
      </c>
      <c r="X146" s="97" t="str">
        <f t="array" ref="X146">IFERROR(INDEX(DFD!$K$2:$K$1048791,MATCH($Q146,DFD!$B$2:$B$1048791,0)),"")</f>
        <v/>
      </c>
      <c r="Y146" s="97" t="str">
        <f t="array" ref="Y146">IFERROR(INDEX(DFD!$L$2:$L$1048790,MATCH($Q146,DFD!$B$2:$B$1048790,0)),"")</f>
        <v/>
      </c>
      <c r="Z146" s="97">
        <f t="shared" si="4"/>
        <v>45</v>
      </c>
      <c r="AA146" s="87"/>
      <c r="AB146" s="87" t="s">
        <v>72</v>
      </c>
      <c r="AC146" s="87"/>
      <c r="AD146" s="99">
        <v>46043.0</v>
      </c>
      <c r="AE146" s="119">
        <f t="shared" si="5"/>
        <v>1</v>
      </c>
    </row>
    <row r="147" ht="15.75" customHeight="1">
      <c r="A147" s="67"/>
      <c r="B147" s="67" t="s">
        <v>148</v>
      </c>
      <c r="C147" s="81" t="s">
        <v>629</v>
      </c>
      <c r="D147" s="81" t="s">
        <v>51</v>
      </c>
      <c r="E147" s="81">
        <v>1.0</v>
      </c>
      <c r="F147" s="113">
        <v>9240.0</v>
      </c>
      <c r="G147" s="73" t="s">
        <v>53</v>
      </c>
      <c r="H147" s="83">
        <v>46204.0</v>
      </c>
      <c r="I147" s="67" t="s">
        <v>18</v>
      </c>
      <c r="J147" s="67" t="s">
        <v>54</v>
      </c>
      <c r="K147" s="67" t="s">
        <v>83</v>
      </c>
      <c r="L147" s="67" t="s">
        <v>56</v>
      </c>
      <c r="M147" s="67" t="s">
        <v>84</v>
      </c>
      <c r="N147" s="67" t="s">
        <v>20</v>
      </c>
      <c r="O147" s="59" t="s">
        <v>59</v>
      </c>
      <c r="P147" s="59"/>
      <c r="Q147" s="59" t="s">
        <v>625</v>
      </c>
      <c r="R147" s="67" t="s">
        <v>442</v>
      </c>
      <c r="S147" s="59"/>
      <c r="T147" s="59"/>
      <c r="U147" s="77" t="str">
        <f t="array" ref="U147">IFERROR(INDEX(DFD!$D$2:$D$1048791,MATCH($Q147,DFD!$B$2:$B$1048791,0)),"")</f>
        <v/>
      </c>
      <c r="V147" s="77" t="str">
        <f t="array" ref="V147">IFERROR(INDEX(DFD!$F$2:$F$1048791,MATCH($Q147,DFD!$B$2:$B$1048791,0)),"")</f>
        <v/>
      </c>
      <c r="W147" s="84" t="str">
        <f t="array" ref="W147">IFERROR(INDEX(DFD!$E$2:$E$1048791,MATCH($Q147,DFD!$B$2:$B$1048791,0)),"")</f>
        <v/>
      </c>
      <c r="X147" s="84" t="str">
        <f t="array" ref="X147">IFERROR(INDEX(DFD!$K$2:$K$1048791,MATCH($Q147,DFD!$B$2:$B$1048791,0)),"")</f>
        <v/>
      </c>
      <c r="Y147" s="84" t="str">
        <f t="array" ref="Y147">IFERROR(INDEX(DFD!$L$2:$L$1048790,MATCH($Q147,DFD!$B$2:$B$1048790,0)),"")</f>
        <v/>
      </c>
      <c r="Z147" s="84">
        <f t="shared" si="4"/>
        <v>45</v>
      </c>
      <c r="AA147" s="59"/>
      <c r="AB147" s="59" t="s">
        <v>72</v>
      </c>
      <c r="AC147" s="59"/>
      <c r="AD147" s="85">
        <v>46043.0</v>
      </c>
      <c r="AE147" s="114">
        <f t="shared" si="5"/>
        <v>1</v>
      </c>
    </row>
    <row r="148" ht="15.75" customHeight="1">
      <c r="A148" s="92"/>
      <c r="B148" s="92" t="s">
        <v>427</v>
      </c>
      <c r="C148" s="116" t="s">
        <v>635</v>
      </c>
      <c r="D148" s="116" t="s">
        <v>51</v>
      </c>
      <c r="E148" s="116">
        <v>1.0</v>
      </c>
      <c r="F148" s="117">
        <v>64873.12</v>
      </c>
      <c r="G148" s="90" t="s">
        <v>53</v>
      </c>
      <c r="H148" s="118">
        <v>46266.0</v>
      </c>
      <c r="I148" s="92" t="s">
        <v>18</v>
      </c>
      <c r="J148" s="92" t="s">
        <v>636</v>
      </c>
      <c r="K148" s="92" t="s">
        <v>637</v>
      </c>
      <c r="L148" s="92" t="s">
        <v>197</v>
      </c>
      <c r="M148" s="92" t="s">
        <v>84</v>
      </c>
      <c r="N148" s="87" t="s">
        <v>20</v>
      </c>
      <c r="O148" s="87"/>
      <c r="P148" s="87"/>
      <c r="Q148" s="87" t="s">
        <v>638</v>
      </c>
      <c r="R148" s="92" t="s">
        <v>639</v>
      </c>
      <c r="S148" s="87"/>
      <c r="T148" s="87"/>
      <c r="U148" s="94" t="s">
        <v>640</v>
      </c>
      <c r="V148" s="94" t="s">
        <v>641</v>
      </c>
      <c r="W148" s="97">
        <v>46203.0</v>
      </c>
      <c r="X148" s="97" t="str">
        <f t="array" ref="X148">IFERROR(INDEX(DFD!$K$2:$K$1048791,MATCH($Q148,DFD!$B$2:$B$1048791,0)),"")</f>
        <v/>
      </c>
      <c r="Y148" s="97" t="str">
        <f t="array" ref="Y148">IFERROR(INDEX(DFD!$L$2:$L$1048790,MATCH($Q148,DFD!$B$2:$B$1048790,0)),"")</f>
        <v/>
      </c>
      <c r="Z148" s="97">
        <f t="shared" si="4"/>
        <v>45</v>
      </c>
      <c r="AA148" s="87"/>
      <c r="AB148" s="87" t="s">
        <v>78</v>
      </c>
      <c r="AC148" s="87"/>
      <c r="AD148" s="99">
        <v>46043.0</v>
      </c>
      <c r="AE148" s="119">
        <f t="shared" si="5"/>
        <v>1</v>
      </c>
    </row>
    <row r="149" ht="15.75" customHeight="1">
      <c r="A149" s="59"/>
      <c r="B149" s="59" t="s">
        <v>148</v>
      </c>
      <c r="C149" s="60" t="s">
        <v>645</v>
      </c>
      <c r="D149" s="60" t="s">
        <v>51</v>
      </c>
      <c r="E149" s="60">
        <v>1.0</v>
      </c>
      <c r="F149" s="138">
        <v>50000.0</v>
      </c>
      <c r="G149" s="73" t="s">
        <v>53</v>
      </c>
      <c r="H149" s="74">
        <v>46266.0</v>
      </c>
      <c r="I149" s="67" t="s">
        <v>17</v>
      </c>
      <c r="J149" s="67" t="s">
        <v>54</v>
      </c>
      <c r="K149" s="67" t="s">
        <v>55</v>
      </c>
      <c r="L149" s="67" t="s">
        <v>56</v>
      </c>
      <c r="M149" s="67" t="s">
        <v>75</v>
      </c>
      <c r="N149" s="59" t="s">
        <v>20</v>
      </c>
      <c r="O149" s="59" t="s">
        <v>59</v>
      </c>
      <c r="P149" s="59"/>
      <c r="Q149" s="59" t="s">
        <v>646</v>
      </c>
      <c r="R149" s="67" t="s">
        <v>647</v>
      </c>
      <c r="S149" s="59"/>
      <c r="T149" s="59"/>
      <c r="U149" s="77" t="str">
        <f t="array" ref="U149">IFERROR(INDEX(DFD!$D$2:$D$1048791,MATCH($Q149,DFD!$B$2:$B$1048791,0)),"")</f>
        <v/>
      </c>
      <c r="V149" s="77" t="str">
        <f t="array" ref="V149">IFERROR(INDEX(DFD!$F$2:$F$1048791,MATCH($Q149,DFD!$B$2:$B$1048791,0)),"")</f>
        <v/>
      </c>
      <c r="W149" s="84" t="str">
        <f t="array" ref="W149">IFERROR(INDEX(DFD!$E$2:$E$1048791,MATCH($Q149,DFD!$B$2:$B$1048791,0)),"")</f>
        <v/>
      </c>
      <c r="X149" s="84" t="str">
        <f t="array" ref="X149">IFERROR(INDEX(DFD!$K$2:$K$1048791,MATCH($Q149,DFD!$B$2:$B$1048791,0)),"")</f>
        <v/>
      </c>
      <c r="Y149" s="84" t="str">
        <f t="array" ref="Y149">IFERROR(INDEX(DFD!$L$2:$L$1048790,MATCH($Q149,DFD!$B$2:$B$1048790,0)),"")</f>
        <v/>
      </c>
      <c r="Z149" s="84">
        <f t="shared" si="4"/>
        <v>45</v>
      </c>
      <c r="AA149" s="59"/>
      <c r="AB149" s="59" t="s">
        <v>72</v>
      </c>
      <c r="AC149" s="59"/>
      <c r="AD149" s="85">
        <v>46043.0</v>
      </c>
      <c r="AE149" s="114">
        <f t="shared" si="5"/>
        <v>1</v>
      </c>
    </row>
    <row r="150" ht="51.75" customHeight="1">
      <c r="A150" s="87"/>
      <c r="B150" s="87" t="s">
        <v>101</v>
      </c>
      <c r="C150" s="88" t="s">
        <v>650</v>
      </c>
      <c r="D150" s="88" t="s">
        <v>51</v>
      </c>
      <c r="E150" s="88">
        <v>6.0</v>
      </c>
      <c r="F150" s="139">
        <v>10800.0</v>
      </c>
      <c r="G150" s="90" t="s">
        <v>53</v>
      </c>
      <c r="H150" s="91">
        <v>46235.0</v>
      </c>
      <c r="I150" s="92" t="s">
        <v>17</v>
      </c>
      <c r="J150" s="92" t="s">
        <v>54</v>
      </c>
      <c r="K150" s="92" t="s">
        <v>66</v>
      </c>
      <c r="L150" s="92" t="s">
        <v>56</v>
      </c>
      <c r="M150" s="92" t="s">
        <v>500</v>
      </c>
      <c r="N150" s="87" t="s">
        <v>20</v>
      </c>
      <c r="O150" s="87" t="s">
        <v>59</v>
      </c>
      <c r="P150" s="87"/>
      <c r="Q150" s="87" t="s">
        <v>651</v>
      </c>
      <c r="R150" s="92" t="s">
        <v>181</v>
      </c>
      <c r="S150" s="87"/>
      <c r="T150" s="87"/>
      <c r="U150" s="94" t="str">
        <f t="array" ref="U150">IFERROR(INDEX(DFD!$D$2:$D$1048791,MATCH($Q150,DFD!$B$2:$B$1048791,0)),"")</f>
        <v/>
      </c>
      <c r="V150" s="94" t="str">
        <f t="array" ref="V150">IFERROR(INDEX(DFD!$F$2:$F$1048791,MATCH($Q150,DFD!$B$2:$B$1048791,0)),"")</f>
        <v/>
      </c>
      <c r="W150" s="97" t="str">
        <f t="array" ref="W150">IFERROR(INDEX(DFD!$E$2:$E$1048791,MATCH($Q150,DFD!$B$2:$B$1048791,0)),"")</f>
        <v/>
      </c>
      <c r="X150" s="97" t="str">
        <f t="array" ref="X150">IFERROR(INDEX(DFD!$K$2:$K$1048791,MATCH($Q150,DFD!$B$2:$B$1048791,0)),"")</f>
        <v/>
      </c>
      <c r="Y150" s="97" t="str">
        <f t="array" ref="Y150">IFERROR(INDEX(DFD!$L$2:$L$1048790,MATCH($Q150,DFD!$B$2:$B$1048790,0)),"")</f>
        <v/>
      </c>
      <c r="Z150" s="97">
        <f t="shared" si="4"/>
        <v>45</v>
      </c>
      <c r="AA150" s="87"/>
      <c r="AB150" s="87" t="s">
        <v>72</v>
      </c>
      <c r="AC150" s="87"/>
      <c r="AD150" s="99">
        <v>46043.0</v>
      </c>
      <c r="AE150" s="119">
        <f t="shared" si="5"/>
        <v>1</v>
      </c>
    </row>
    <row r="151" ht="15.75" customHeight="1">
      <c r="A151" s="59"/>
      <c r="B151" s="59" t="s">
        <v>101</v>
      </c>
      <c r="C151" s="60" t="s">
        <v>653</v>
      </c>
      <c r="D151" s="60" t="s">
        <v>51</v>
      </c>
      <c r="E151" s="60">
        <v>15.0</v>
      </c>
      <c r="F151" s="138">
        <v>360.0</v>
      </c>
      <c r="G151" s="73" t="s">
        <v>53</v>
      </c>
      <c r="H151" s="74">
        <v>46174.0</v>
      </c>
      <c r="I151" s="67" t="s">
        <v>17</v>
      </c>
      <c r="J151" s="67" t="s">
        <v>54</v>
      </c>
      <c r="K151" s="67" t="s">
        <v>66</v>
      </c>
      <c r="L151" s="67" t="s">
        <v>56</v>
      </c>
      <c r="M151" s="67" t="s">
        <v>500</v>
      </c>
      <c r="N151" s="59" t="s">
        <v>20</v>
      </c>
      <c r="O151" s="59" t="s">
        <v>59</v>
      </c>
      <c r="P151" s="59"/>
      <c r="Q151" s="59" t="s">
        <v>651</v>
      </c>
      <c r="R151" s="67" t="s">
        <v>181</v>
      </c>
      <c r="S151" s="59"/>
      <c r="T151" s="59"/>
      <c r="U151" s="77" t="str">
        <f t="array" ref="U151">IFERROR(INDEX(DFD!$D$2:$D$1048791,MATCH($Q151,DFD!$B$2:$B$1048791,0)),"")</f>
        <v/>
      </c>
      <c r="V151" s="77" t="str">
        <f t="array" ref="V151">IFERROR(INDEX(DFD!$F$2:$F$1048791,MATCH($Q151,DFD!$B$2:$B$1048791,0)),"")</f>
        <v/>
      </c>
      <c r="W151" s="84" t="str">
        <f t="array" ref="W151">IFERROR(INDEX(DFD!$E$2:$E$1048791,MATCH($Q151,DFD!$B$2:$B$1048791,0)),"")</f>
        <v/>
      </c>
      <c r="X151" s="84" t="str">
        <f t="array" ref="X151">IFERROR(INDEX(DFD!$K$2:$K$1048791,MATCH($Q151,DFD!$B$2:$B$1048791,0)),"")</f>
        <v/>
      </c>
      <c r="Y151" s="84" t="str">
        <f t="array" ref="Y151">IFERROR(INDEX(DFD!$L$2:$L$1048790,MATCH($Q151,DFD!$B$2:$B$1048790,0)),"")</f>
        <v/>
      </c>
      <c r="Z151" s="84">
        <f t="shared" si="4"/>
        <v>45</v>
      </c>
      <c r="AA151" s="59"/>
      <c r="AB151" s="59" t="s">
        <v>72</v>
      </c>
      <c r="AC151" s="59"/>
      <c r="AD151" s="85">
        <v>46043.0</v>
      </c>
      <c r="AE151" s="114">
        <f t="shared" si="5"/>
        <v>1</v>
      </c>
    </row>
    <row r="152" ht="15.75" customHeight="1">
      <c r="A152" s="87"/>
      <c r="B152" s="87" t="s">
        <v>101</v>
      </c>
      <c r="C152" s="88" t="s">
        <v>656</v>
      </c>
      <c r="D152" s="88" t="s">
        <v>51</v>
      </c>
      <c r="E152" s="88">
        <v>4.0</v>
      </c>
      <c r="F152" s="139">
        <v>200.0</v>
      </c>
      <c r="G152" s="90" t="s">
        <v>53</v>
      </c>
      <c r="H152" s="91">
        <v>46143.0</v>
      </c>
      <c r="I152" s="92" t="s">
        <v>17</v>
      </c>
      <c r="J152" s="92" t="s">
        <v>54</v>
      </c>
      <c r="K152" s="92" t="s">
        <v>66</v>
      </c>
      <c r="L152" s="92" t="s">
        <v>56</v>
      </c>
      <c r="M152" s="92" t="s">
        <v>448</v>
      </c>
      <c r="N152" s="87" t="s">
        <v>20</v>
      </c>
      <c r="O152" s="87" t="s">
        <v>59</v>
      </c>
      <c r="P152" s="87"/>
      <c r="Q152" s="87" t="s">
        <v>651</v>
      </c>
      <c r="R152" s="92" t="s">
        <v>181</v>
      </c>
      <c r="S152" s="87"/>
      <c r="T152" s="87"/>
      <c r="U152" s="94" t="str">
        <f t="array" ref="U152">IFERROR(INDEX(DFD!$D$2:$D$1048791,MATCH($Q152,DFD!$B$2:$B$1048791,0)),"")</f>
        <v/>
      </c>
      <c r="V152" s="94" t="str">
        <f t="array" ref="V152">IFERROR(INDEX(DFD!$F$2:$F$1048791,MATCH($Q152,DFD!$B$2:$B$1048791,0)),"")</f>
        <v/>
      </c>
      <c r="W152" s="97" t="str">
        <f t="array" ref="W152">IFERROR(INDEX(DFD!$E$2:$E$1048791,MATCH($Q152,DFD!$B$2:$B$1048791,0)),"")</f>
        <v/>
      </c>
      <c r="X152" s="97" t="str">
        <f t="array" ref="X152">IFERROR(INDEX(DFD!$K$2:$K$1048791,MATCH($Q152,DFD!$B$2:$B$1048791,0)),"")</f>
        <v/>
      </c>
      <c r="Y152" s="97" t="str">
        <f t="array" ref="Y152">IFERROR(INDEX(DFD!$L$2:$L$1048790,MATCH($Q152,DFD!$B$2:$B$1048790,0)),"")</f>
        <v/>
      </c>
      <c r="Z152" s="97">
        <f t="shared" si="4"/>
        <v>45</v>
      </c>
      <c r="AA152" s="87"/>
      <c r="AB152" s="87" t="s">
        <v>72</v>
      </c>
      <c r="AC152" s="87"/>
      <c r="AD152" s="99">
        <v>46043.0</v>
      </c>
      <c r="AE152" s="119">
        <f t="shared" si="5"/>
        <v>1</v>
      </c>
    </row>
    <row r="153" ht="15.75" customHeight="1">
      <c r="A153" s="67"/>
      <c r="B153" s="67" t="s">
        <v>355</v>
      </c>
      <c r="C153" s="81" t="s">
        <v>661</v>
      </c>
      <c r="D153" s="81" t="s">
        <v>51</v>
      </c>
      <c r="E153" s="81">
        <v>1.0</v>
      </c>
      <c r="F153" s="113">
        <v>8500.0</v>
      </c>
      <c r="G153" s="73" t="s">
        <v>53</v>
      </c>
      <c r="H153" s="83">
        <v>46204.0</v>
      </c>
      <c r="I153" s="67" t="s">
        <v>18</v>
      </c>
      <c r="J153" s="67" t="s">
        <v>54</v>
      </c>
      <c r="K153" s="67" t="s">
        <v>83</v>
      </c>
      <c r="L153" s="67" t="s">
        <v>56</v>
      </c>
      <c r="M153" s="67" t="s">
        <v>84</v>
      </c>
      <c r="N153" s="67" t="s">
        <v>20</v>
      </c>
      <c r="O153" s="59" t="s">
        <v>59</v>
      </c>
      <c r="P153" s="59"/>
      <c r="Q153" s="59" t="s">
        <v>651</v>
      </c>
      <c r="R153" s="67" t="s">
        <v>302</v>
      </c>
      <c r="S153" s="59"/>
      <c r="T153" s="59"/>
      <c r="U153" s="77" t="str">
        <f t="array" ref="U153">IFERROR(INDEX(DFD!$D$2:$D$1048791,MATCH($Q153,DFD!$B$2:$B$1048791,0)),"")</f>
        <v/>
      </c>
      <c r="V153" s="77" t="str">
        <f t="array" ref="V153">IFERROR(INDEX(DFD!$F$2:$F$1048791,MATCH($Q153,DFD!$B$2:$B$1048791,0)),"")</f>
        <v/>
      </c>
      <c r="W153" s="84" t="str">
        <f t="array" ref="W153">IFERROR(INDEX(DFD!$E$2:$E$1048791,MATCH($Q153,DFD!$B$2:$B$1048791,0)),"")</f>
        <v/>
      </c>
      <c r="X153" s="84" t="str">
        <f t="array" ref="X153">IFERROR(INDEX(DFD!$K$2:$K$1048791,MATCH($Q153,DFD!$B$2:$B$1048791,0)),"")</f>
        <v/>
      </c>
      <c r="Y153" s="84" t="str">
        <f t="array" ref="Y153">IFERROR(INDEX(DFD!$L$2:$L$1048790,MATCH($Q153,DFD!$B$2:$B$1048790,0)),"")</f>
        <v/>
      </c>
      <c r="Z153" s="84">
        <f t="shared" si="4"/>
        <v>45</v>
      </c>
      <c r="AA153" s="59"/>
      <c r="AB153" s="59" t="s">
        <v>72</v>
      </c>
      <c r="AC153" s="59"/>
      <c r="AD153" s="85">
        <v>46043.0</v>
      </c>
      <c r="AE153" s="114">
        <f t="shared" si="5"/>
        <v>1</v>
      </c>
    </row>
    <row r="154" ht="15.75" customHeight="1">
      <c r="A154" s="92"/>
      <c r="B154" s="92" t="s">
        <v>172</v>
      </c>
      <c r="C154" s="116" t="s">
        <v>664</v>
      </c>
      <c r="D154" s="116" t="s">
        <v>51</v>
      </c>
      <c r="E154" s="116">
        <v>1.0</v>
      </c>
      <c r="F154" s="117">
        <v>4450.0</v>
      </c>
      <c r="G154" s="90" t="s">
        <v>53</v>
      </c>
      <c r="H154" s="118">
        <v>46204.0</v>
      </c>
      <c r="I154" s="92" t="s">
        <v>18</v>
      </c>
      <c r="J154" s="92" t="s">
        <v>54</v>
      </c>
      <c r="K154" s="92" t="s">
        <v>83</v>
      </c>
      <c r="L154" s="92" t="s">
        <v>56</v>
      </c>
      <c r="M154" s="92" t="s">
        <v>84</v>
      </c>
      <c r="N154" s="92" t="s">
        <v>20</v>
      </c>
      <c r="O154" s="87" t="s">
        <v>59</v>
      </c>
      <c r="P154" s="87"/>
      <c r="Q154" s="87" t="s">
        <v>651</v>
      </c>
      <c r="R154" s="92" t="s">
        <v>302</v>
      </c>
      <c r="S154" s="87"/>
      <c r="T154" s="87"/>
      <c r="U154" s="94" t="str">
        <f t="array" ref="U154">IFERROR(INDEX(DFD!$D$2:$D$1048791,MATCH($Q154,DFD!$B$2:$B$1048791,0)),"")</f>
        <v/>
      </c>
      <c r="V154" s="94" t="str">
        <f t="array" ref="V154">IFERROR(INDEX(DFD!$F$2:$F$1048791,MATCH($Q154,DFD!$B$2:$B$1048791,0)),"")</f>
        <v/>
      </c>
      <c r="W154" s="97" t="str">
        <f t="array" ref="W154">IFERROR(INDEX(DFD!$E$2:$E$1048791,MATCH($Q154,DFD!$B$2:$B$1048791,0)),"")</f>
        <v/>
      </c>
      <c r="X154" s="97" t="str">
        <f t="array" ref="X154">IFERROR(INDEX(DFD!$K$2:$K$1048791,MATCH($Q154,DFD!$B$2:$B$1048791,0)),"")</f>
        <v/>
      </c>
      <c r="Y154" s="97" t="str">
        <f t="array" ref="Y154">IFERROR(INDEX(DFD!$L$2:$L$1048790,MATCH($Q154,DFD!$B$2:$B$1048790,0)),"")</f>
        <v/>
      </c>
      <c r="Z154" s="97">
        <f t="shared" si="4"/>
        <v>45</v>
      </c>
      <c r="AA154" s="87"/>
      <c r="AB154" s="87" t="s">
        <v>72</v>
      </c>
      <c r="AC154" s="87"/>
      <c r="AD154" s="99">
        <v>46043.0</v>
      </c>
      <c r="AE154" s="119">
        <f t="shared" si="5"/>
        <v>1</v>
      </c>
    </row>
    <row r="155" ht="15.75" customHeight="1">
      <c r="A155" s="67"/>
      <c r="B155" s="67" t="s">
        <v>123</v>
      </c>
      <c r="C155" s="81" t="s">
        <v>664</v>
      </c>
      <c r="D155" s="81" t="s">
        <v>51</v>
      </c>
      <c r="E155" s="81">
        <v>1.0</v>
      </c>
      <c r="F155" s="113">
        <v>4450.0</v>
      </c>
      <c r="G155" s="73" t="s">
        <v>53</v>
      </c>
      <c r="H155" s="83">
        <v>46204.0</v>
      </c>
      <c r="I155" s="67" t="s">
        <v>18</v>
      </c>
      <c r="J155" s="67" t="s">
        <v>54</v>
      </c>
      <c r="K155" s="67" t="s">
        <v>83</v>
      </c>
      <c r="L155" s="67" t="s">
        <v>56</v>
      </c>
      <c r="M155" s="67" t="s">
        <v>84</v>
      </c>
      <c r="N155" s="67" t="s">
        <v>20</v>
      </c>
      <c r="O155" s="59" t="s">
        <v>59</v>
      </c>
      <c r="P155" s="59"/>
      <c r="Q155" s="59" t="s">
        <v>651</v>
      </c>
      <c r="R155" s="67" t="s">
        <v>302</v>
      </c>
      <c r="S155" s="59"/>
      <c r="T155" s="59"/>
      <c r="U155" s="77" t="str">
        <f t="array" ref="U155">IFERROR(INDEX(DFD!$D$2:$D$1048791,MATCH($Q155,DFD!$B$2:$B$1048791,0)),"")</f>
        <v/>
      </c>
      <c r="V155" s="77" t="str">
        <f t="array" ref="V155">IFERROR(INDEX(DFD!$F$2:$F$1048791,MATCH($Q155,DFD!$B$2:$B$1048791,0)),"")</f>
        <v/>
      </c>
      <c r="W155" s="84" t="str">
        <f t="array" ref="W155">IFERROR(INDEX(DFD!$E$2:$E$1048791,MATCH($Q155,DFD!$B$2:$B$1048791,0)),"")</f>
        <v/>
      </c>
      <c r="X155" s="84" t="str">
        <f t="array" ref="X155">IFERROR(INDEX(DFD!$K$2:$K$1048791,MATCH($Q155,DFD!$B$2:$B$1048791,0)),"")</f>
        <v/>
      </c>
      <c r="Y155" s="84" t="str">
        <f t="array" ref="Y155">IFERROR(INDEX(DFD!$L$2:$L$1048790,MATCH($Q155,DFD!$B$2:$B$1048790,0)),"")</f>
        <v/>
      </c>
      <c r="Z155" s="84">
        <f t="shared" si="4"/>
        <v>45</v>
      </c>
      <c r="AA155" s="59"/>
      <c r="AB155" s="59" t="s">
        <v>72</v>
      </c>
      <c r="AC155" s="59"/>
      <c r="AD155" s="85">
        <v>46043.0</v>
      </c>
      <c r="AE155" s="114">
        <f t="shared" si="5"/>
        <v>1</v>
      </c>
    </row>
    <row r="156" ht="15.75" customHeight="1">
      <c r="A156" s="92"/>
      <c r="B156" s="92" t="s">
        <v>94</v>
      </c>
      <c r="C156" s="116" t="s">
        <v>664</v>
      </c>
      <c r="D156" s="116" t="s">
        <v>51</v>
      </c>
      <c r="E156" s="116">
        <v>1.0</v>
      </c>
      <c r="F156" s="117">
        <v>4450.0</v>
      </c>
      <c r="G156" s="90" t="s">
        <v>53</v>
      </c>
      <c r="H156" s="118">
        <v>46204.0</v>
      </c>
      <c r="I156" s="92" t="s">
        <v>18</v>
      </c>
      <c r="J156" s="92" t="s">
        <v>54</v>
      </c>
      <c r="K156" s="92" t="s">
        <v>83</v>
      </c>
      <c r="L156" s="92" t="s">
        <v>56</v>
      </c>
      <c r="M156" s="92" t="s">
        <v>84</v>
      </c>
      <c r="N156" s="92" t="s">
        <v>20</v>
      </c>
      <c r="O156" s="87" t="s">
        <v>59</v>
      </c>
      <c r="P156" s="87"/>
      <c r="Q156" s="87" t="s">
        <v>651</v>
      </c>
      <c r="R156" s="92" t="s">
        <v>302</v>
      </c>
      <c r="S156" s="87"/>
      <c r="T156" s="87"/>
      <c r="U156" s="94" t="str">
        <f t="array" ref="U156">IFERROR(INDEX(DFD!$D$2:$D$1048791,MATCH($Q156,DFD!$B$2:$B$1048791,0)),"")</f>
        <v/>
      </c>
      <c r="V156" s="94" t="str">
        <f t="array" ref="V156">IFERROR(INDEX(DFD!$F$2:$F$1048791,MATCH($Q156,DFD!$B$2:$B$1048791,0)),"")</f>
        <v/>
      </c>
      <c r="W156" s="97" t="str">
        <f t="array" ref="W156">IFERROR(INDEX(DFD!$E$2:$E$1048791,MATCH($Q156,DFD!$B$2:$B$1048791,0)),"")</f>
        <v/>
      </c>
      <c r="X156" s="97" t="str">
        <f t="array" ref="X156">IFERROR(INDEX(DFD!$K$2:$K$1048791,MATCH($Q156,DFD!$B$2:$B$1048791,0)),"")</f>
        <v/>
      </c>
      <c r="Y156" s="97" t="str">
        <f t="array" ref="Y156">IFERROR(INDEX(DFD!$L$2:$L$1048790,MATCH($Q156,DFD!$B$2:$B$1048790,0)),"")</f>
        <v/>
      </c>
      <c r="Z156" s="97">
        <f t="shared" si="4"/>
        <v>45</v>
      </c>
      <c r="AA156" s="87"/>
      <c r="AB156" s="87" t="s">
        <v>72</v>
      </c>
      <c r="AC156" s="87"/>
      <c r="AD156" s="99">
        <v>46043.0</v>
      </c>
      <c r="AE156" s="119">
        <f t="shared" si="5"/>
        <v>1</v>
      </c>
    </row>
    <row r="157" ht="15.75" customHeight="1">
      <c r="A157" s="59"/>
      <c r="B157" s="59" t="s">
        <v>101</v>
      </c>
      <c r="C157" s="60" t="s">
        <v>669</v>
      </c>
      <c r="D157" s="60" t="s">
        <v>51</v>
      </c>
      <c r="E157" s="60">
        <v>20.0</v>
      </c>
      <c r="F157" s="138">
        <v>960.0</v>
      </c>
      <c r="G157" s="73" t="s">
        <v>53</v>
      </c>
      <c r="H157" s="74">
        <v>46174.0</v>
      </c>
      <c r="I157" s="67" t="s">
        <v>17</v>
      </c>
      <c r="J157" s="67" t="s">
        <v>54</v>
      </c>
      <c r="K157" s="67" t="s">
        <v>66</v>
      </c>
      <c r="L157" s="67" t="s">
        <v>56</v>
      </c>
      <c r="M157" s="67" t="s">
        <v>448</v>
      </c>
      <c r="N157" s="59" t="s">
        <v>20</v>
      </c>
      <c r="O157" s="59" t="s">
        <v>59</v>
      </c>
      <c r="P157" s="59"/>
      <c r="Q157" s="149" t="s">
        <v>651</v>
      </c>
      <c r="R157" s="67" t="s">
        <v>114</v>
      </c>
      <c r="S157" s="59"/>
      <c r="T157" s="59"/>
      <c r="U157" s="77" t="str">
        <f t="array" ref="U157">IFERROR(INDEX(DFD!$D$2:$D$1048791,MATCH($Q157,DFD!$B$2:$B$1048791,0)),"")</f>
        <v/>
      </c>
      <c r="V157" s="77" t="str">
        <f t="array" ref="V157">IFERROR(INDEX(DFD!$F$2:$F$1048791,MATCH($Q157,DFD!$B$2:$B$1048791,0)),"")</f>
        <v/>
      </c>
      <c r="W157" s="84" t="str">
        <f t="array" ref="W157">IFERROR(INDEX(DFD!$E$2:$E$1048791,MATCH($Q157,DFD!$B$2:$B$1048791,0)),"")</f>
        <v/>
      </c>
      <c r="X157" s="84" t="str">
        <f t="array" ref="X157">IFERROR(INDEX(DFD!$K$2:$K$1048791,MATCH($Q157,DFD!$B$2:$B$1048791,0)),"")</f>
        <v/>
      </c>
      <c r="Y157" s="84" t="str">
        <f t="array" ref="Y157">IFERROR(INDEX(DFD!$L$2:$L$1048790,MATCH($Q157,DFD!$B$2:$B$1048790,0)),"")</f>
        <v/>
      </c>
      <c r="Z157" s="84">
        <f t="shared" si="4"/>
        <v>45</v>
      </c>
      <c r="AA157" s="59"/>
      <c r="AB157" s="59" t="s">
        <v>72</v>
      </c>
      <c r="AC157" s="59"/>
      <c r="AD157" s="85">
        <v>46043.0</v>
      </c>
      <c r="AE157" s="114">
        <f t="shared" si="5"/>
        <v>1</v>
      </c>
    </row>
    <row r="158" ht="15.75" customHeight="1">
      <c r="A158" s="87"/>
      <c r="B158" s="87" t="s">
        <v>101</v>
      </c>
      <c r="C158" s="88" t="s">
        <v>673</v>
      </c>
      <c r="D158" s="88" t="s">
        <v>51</v>
      </c>
      <c r="E158" s="88">
        <v>4.0</v>
      </c>
      <c r="F158" s="139">
        <v>240.0</v>
      </c>
      <c r="G158" s="90" t="s">
        <v>53</v>
      </c>
      <c r="H158" s="91">
        <v>46143.0</v>
      </c>
      <c r="I158" s="92" t="s">
        <v>17</v>
      </c>
      <c r="J158" s="92" t="s">
        <v>54</v>
      </c>
      <c r="K158" s="92" t="s">
        <v>66</v>
      </c>
      <c r="L158" s="92" t="s">
        <v>67</v>
      </c>
      <c r="M158" s="92" t="s">
        <v>132</v>
      </c>
      <c r="N158" s="87" t="s">
        <v>20</v>
      </c>
      <c r="O158" s="87" t="s">
        <v>59</v>
      </c>
      <c r="P158" s="87"/>
      <c r="Q158" s="87" t="s">
        <v>651</v>
      </c>
      <c r="R158" s="92" t="s">
        <v>402</v>
      </c>
      <c r="S158" s="87"/>
      <c r="T158" s="87"/>
      <c r="U158" s="94" t="str">
        <f t="array" ref="U158">IFERROR(INDEX(DFD!$D$2:$D$1048791,MATCH($Q158,DFD!$B$2:$B$1048791,0)),"")</f>
        <v/>
      </c>
      <c r="V158" s="94" t="str">
        <f t="array" ref="V158">IFERROR(INDEX(DFD!$F$2:$F$1048791,MATCH($Q158,DFD!$B$2:$B$1048791,0)),"")</f>
        <v/>
      </c>
      <c r="W158" s="97" t="str">
        <f t="array" ref="W158">IFERROR(INDEX(DFD!$E$2:$E$1048791,MATCH($Q158,DFD!$B$2:$B$1048791,0)),"")</f>
        <v/>
      </c>
      <c r="X158" s="97" t="str">
        <f t="array" ref="X158">IFERROR(INDEX(DFD!$K$2:$K$1048791,MATCH($Q158,DFD!$B$2:$B$1048791,0)),"")</f>
        <v/>
      </c>
      <c r="Y158" s="97" t="str">
        <f t="array" ref="Y158">IFERROR(INDEX(DFD!$L$2:$L$1048790,MATCH($Q158,DFD!$B$2:$B$1048790,0)),"")</f>
        <v/>
      </c>
      <c r="Z158" s="97">
        <f t="shared" si="4"/>
        <v>45</v>
      </c>
      <c r="AA158" s="87"/>
      <c r="AB158" s="87" t="s">
        <v>72</v>
      </c>
      <c r="AC158" s="87"/>
      <c r="AD158" s="99">
        <v>46043.0</v>
      </c>
      <c r="AE158" s="119">
        <f t="shared" si="5"/>
        <v>1</v>
      </c>
    </row>
    <row r="159" ht="15.75" customHeight="1">
      <c r="A159" s="67"/>
      <c r="B159" s="67" t="s">
        <v>174</v>
      </c>
      <c r="C159" s="81" t="s">
        <v>676</v>
      </c>
      <c r="D159" s="81" t="s">
        <v>51</v>
      </c>
      <c r="E159" s="81">
        <v>5.0</v>
      </c>
      <c r="F159" s="113">
        <v>100.0</v>
      </c>
      <c r="G159" s="73" t="s">
        <v>53</v>
      </c>
      <c r="H159" s="83">
        <v>46143.0</v>
      </c>
      <c r="I159" s="67" t="s">
        <v>17</v>
      </c>
      <c r="J159" s="67" t="s">
        <v>54</v>
      </c>
      <c r="K159" s="67" t="s">
        <v>66</v>
      </c>
      <c r="L159" s="67" t="s">
        <v>56</v>
      </c>
      <c r="M159" s="67" t="s">
        <v>84</v>
      </c>
      <c r="N159" s="67" t="s">
        <v>20</v>
      </c>
      <c r="O159" s="59" t="s">
        <v>59</v>
      </c>
      <c r="P159" s="59"/>
      <c r="Q159" s="59" t="s">
        <v>651</v>
      </c>
      <c r="R159" s="67" t="s">
        <v>187</v>
      </c>
      <c r="S159" s="59"/>
      <c r="T159" s="59"/>
      <c r="U159" s="77" t="str">
        <f t="array" ref="U159">IFERROR(INDEX(DFD!$D$2:$D$1048791,MATCH($Q159,DFD!$B$2:$B$1048791,0)),"")</f>
        <v/>
      </c>
      <c r="V159" s="77" t="str">
        <f t="array" ref="V159">IFERROR(INDEX(DFD!$F$2:$F$1048791,MATCH($Q159,DFD!$B$2:$B$1048791,0)),"")</f>
        <v/>
      </c>
      <c r="W159" s="84" t="str">
        <f t="array" ref="W159">IFERROR(INDEX(DFD!$E$2:$E$1048791,MATCH($Q159,DFD!$B$2:$B$1048791,0)),"")</f>
        <v/>
      </c>
      <c r="X159" s="84" t="str">
        <f t="array" ref="X159">IFERROR(INDEX(DFD!$K$2:$K$1048791,MATCH($Q159,DFD!$B$2:$B$1048791,0)),"")</f>
        <v/>
      </c>
      <c r="Y159" s="84" t="str">
        <f t="array" ref="Y159">IFERROR(INDEX(DFD!$L$2:$L$1048790,MATCH($Q159,DFD!$B$2:$B$1048790,0)),"")</f>
        <v/>
      </c>
      <c r="Z159" s="84">
        <f t="shared" si="4"/>
        <v>45</v>
      </c>
      <c r="AA159" s="59"/>
      <c r="AB159" s="59" t="s">
        <v>72</v>
      </c>
      <c r="AC159" s="59"/>
      <c r="AD159" s="85">
        <v>46043.0</v>
      </c>
      <c r="AE159" s="114">
        <f t="shared" si="5"/>
        <v>1</v>
      </c>
    </row>
    <row r="160" ht="15.75" customHeight="1">
      <c r="A160" s="92"/>
      <c r="B160" s="92" t="s">
        <v>174</v>
      </c>
      <c r="C160" s="116" t="s">
        <v>682</v>
      </c>
      <c r="D160" s="116" t="s">
        <v>51</v>
      </c>
      <c r="E160" s="116">
        <v>15.0</v>
      </c>
      <c r="F160" s="117">
        <v>1500.0</v>
      </c>
      <c r="G160" s="90" t="s">
        <v>53</v>
      </c>
      <c r="H160" s="118">
        <v>46174.0</v>
      </c>
      <c r="I160" s="92" t="s">
        <v>17</v>
      </c>
      <c r="J160" s="92" t="s">
        <v>54</v>
      </c>
      <c r="K160" s="92" t="s">
        <v>83</v>
      </c>
      <c r="L160" s="92" t="s">
        <v>56</v>
      </c>
      <c r="M160" s="92" t="s">
        <v>84</v>
      </c>
      <c r="N160" s="92" t="s">
        <v>20</v>
      </c>
      <c r="O160" s="87" t="s">
        <v>59</v>
      </c>
      <c r="P160" s="87"/>
      <c r="Q160" s="87" t="s">
        <v>651</v>
      </c>
      <c r="R160" s="92" t="s">
        <v>187</v>
      </c>
      <c r="S160" s="87"/>
      <c r="T160" s="87"/>
      <c r="U160" s="94" t="str">
        <f t="array" ref="U160">IFERROR(INDEX(DFD!$D$2:$D$1048791,MATCH($Q160,DFD!$B$2:$B$1048791,0)),"")</f>
        <v/>
      </c>
      <c r="V160" s="94" t="str">
        <f t="array" ref="V160">IFERROR(INDEX(DFD!$F$2:$F$1048791,MATCH($Q160,DFD!$B$2:$B$1048791,0)),"")</f>
        <v/>
      </c>
      <c r="W160" s="97" t="str">
        <f t="array" ref="W160">IFERROR(INDEX(DFD!$E$2:$E$1048791,MATCH($Q160,DFD!$B$2:$B$1048791,0)),"")</f>
        <v/>
      </c>
      <c r="X160" s="97" t="str">
        <f t="array" ref="X160">IFERROR(INDEX(DFD!$K$2:$K$1048791,MATCH($Q160,DFD!$B$2:$B$1048791,0)),"")</f>
        <v/>
      </c>
      <c r="Y160" s="97" t="str">
        <f t="array" ref="Y160">IFERROR(INDEX(DFD!$L$2:$L$1048790,MATCH($Q160,DFD!$B$2:$B$1048790,0)),"")</f>
        <v/>
      </c>
      <c r="Z160" s="97">
        <f t="shared" si="4"/>
        <v>45</v>
      </c>
      <c r="AA160" s="87"/>
      <c r="AB160" s="87" t="s">
        <v>72</v>
      </c>
      <c r="AC160" s="87"/>
      <c r="AD160" s="99">
        <v>46043.0</v>
      </c>
      <c r="AE160" s="119">
        <f t="shared" si="5"/>
        <v>1</v>
      </c>
    </row>
    <row r="161" ht="15.75" customHeight="1">
      <c r="A161" s="67"/>
      <c r="B161" s="67" t="s">
        <v>355</v>
      </c>
      <c r="C161" s="81" t="s">
        <v>686</v>
      </c>
      <c r="D161" s="81" t="s">
        <v>51</v>
      </c>
      <c r="E161" s="81">
        <v>2.0</v>
      </c>
      <c r="F161" s="113">
        <v>1600.0</v>
      </c>
      <c r="G161" s="73" t="s">
        <v>53</v>
      </c>
      <c r="H161" s="83">
        <v>46174.0</v>
      </c>
      <c r="I161" s="67" t="s">
        <v>17</v>
      </c>
      <c r="J161" s="67" t="s">
        <v>54</v>
      </c>
      <c r="K161" s="67" t="s">
        <v>83</v>
      </c>
      <c r="L161" s="67" t="s">
        <v>197</v>
      </c>
      <c r="M161" s="67" t="s">
        <v>84</v>
      </c>
      <c r="N161" s="67" t="s">
        <v>20</v>
      </c>
      <c r="O161" s="59" t="s">
        <v>59</v>
      </c>
      <c r="P161" s="59"/>
      <c r="Q161" s="59" t="s">
        <v>651</v>
      </c>
      <c r="R161" s="67" t="s">
        <v>114</v>
      </c>
      <c r="S161" s="59"/>
      <c r="T161" s="59"/>
      <c r="U161" s="77" t="str">
        <f t="array" ref="U161">IFERROR(INDEX(DFD!$D$2:$D$1048791,MATCH($Q161,DFD!$B$2:$B$1048791,0)),"")</f>
        <v/>
      </c>
      <c r="V161" s="77" t="str">
        <f t="array" ref="V161">IFERROR(INDEX(DFD!$F$2:$F$1048791,MATCH($Q161,DFD!$B$2:$B$1048791,0)),"")</f>
        <v/>
      </c>
      <c r="W161" s="84" t="str">
        <f t="array" ref="W161">IFERROR(INDEX(DFD!$E$2:$E$1048791,MATCH($Q161,DFD!$B$2:$B$1048791,0)),"")</f>
        <v/>
      </c>
      <c r="X161" s="84" t="str">
        <f t="array" ref="X161">IFERROR(INDEX(DFD!$K$2:$K$1048791,MATCH($Q161,DFD!$B$2:$B$1048791,0)),"")</f>
        <v/>
      </c>
      <c r="Y161" s="84" t="str">
        <f t="array" ref="Y161">IFERROR(INDEX(DFD!$L$2:$L$1048790,MATCH($Q161,DFD!$B$2:$B$1048790,0)),"")</f>
        <v/>
      </c>
      <c r="Z161" s="84">
        <f t="shared" si="4"/>
        <v>45</v>
      </c>
      <c r="AA161" s="59"/>
      <c r="AB161" s="59" t="s">
        <v>72</v>
      </c>
      <c r="AC161" s="59"/>
      <c r="AD161" s="85">
        <v>46043.0</v>
      </c>
      <c r="AE161" s="114">
        <f t="shared" si="5"/>
        <v>1</v>
      </c>
    </row>
    <row r="162" ht="15.75" customHeight="1">
      <c r="A162" s="92"/>
      <c r="B162" s="92" t="s">
        <v>105</v>
      </c>
      <c r="C162" s="116" t="s">
        <v>686</v>
      </c>
      <c r="D162" s="116" t="s">
        <v>51</v>
      </c>
      <c r="E162" s="116">
        <v>1.0</v>
      </c>
      <c r="F162" s="117">
        <v>800.0</v>
      </c>
      <c r="G162" s="90" t="s">
        <v>53</v>
      </c>
      <c r="H162" s="118">
        <v>46174.0</v>
      </c>
      <c r="I162" s="92" t="s">
        <v>17</v>
      </c>
      <c r="J162" s="92" t="s">
        <v>54</v>
      </c>
      <c r="K162" s="92" t="s">
        <v>83</v>
      </c>
      <c r="L162" s="92" t="s">
        <v>197</v>
      </c>
      <c r="M162" s="92" t="s">
        <v>84</v>
      </c>
      <c r="N162" s="92" t="s">
        <v>20</v>
      </c>
      <c r="O162" s="87" t="s">
        <v>59</v>
      </c>
      <c r="P162" s="87"/>
      <c r="Q162" s="87" t="s">
        <v>651</v>
      </c>
      <c r="R162" s="92" t="s">
        <v>114</v>
      </c>
      <c r="S162" s="87"/>
      <c r="T162" s="87"/>
      <c r="U162" s="94" t="str">
        <f t="array" ref="U162">IFERROR(INDEX(DFD!$D$2:$D$1048791,MATCH($Q162,DFD!$B$2:$B$1048791,0)),"")</f>
        <v/>
      </c>
      <c r="V162" s="94" t="str">
        <f t="array" ref="V162">IFERROR(INDEX(DFD!$F$2:$F$1048791,MATCH($Q162,DFD!$B$2:$B$1048791,0)),"")</f>
        <v/>
      </c>
      <c r="W162" s="97" t="str">
        <f t="array" ref="W162">IFERROR(INDEX(DFD!$E$2:$E$1048791,MATCH($Q162,DFD!$B$2:$B$1048791,0)),"")</f>
        <v/>
      </c>
      <c r="X162" s="97" t="str">
        <f t="array" ref="X162">IFERROR(INDEX(DFD!$K$2:$K$1048791,MATCH($Q162,DFD!$B$2:$B$1048791,0)),"")</f>
        <v/>
      </c>
      <c r="Y162" s="97" t="str">
        <f t="array" ref="Y162">IFERROR(INDEX(DFD!$L$2:$L$1048790,MATCH($Q162,DFD!$B$2:$B$1048790,0)),"")</f>
        <v/>
      </c>
      <c r="Z162" s="97">
        <f t="shared" si="4"/>
        <v>45</v>
      </c>
      <c r="AA162" s="87"/>
      <c r="AB162" s="87" t="s">
        <v>72</v>
      </c>
      <c r="AC162" s="87"/>
      <c r="AD162" s="99">
        <v>46043.0</v>
      </c>
      <c r="AE162" s="119">
        <f t="shared" si="5"/>
        <v>1</v>
      </c>
    </row>
    <row r="163" ht="15.75" customHeight="1">
      <c r="A163" s="67"/>
      <c r="B163" s="67" t="s">
        <v>174</v>
      </c>
      <c r="C163" s="81" t="s">
        <v>686</v>
      </c>
      <c r="D163" s="81" t="s">
        <v>51</v>
      </c>
      <c r="E163" s="81">
        <v>1.0</v>
      </c>
      <c r="F163" s="113">
        <v>800.0</v>
      </c>
      <c r="G163" s="73" t="s">
        <v>53</v>
      </c>
      <c r="H163" s="83">
        <v>46174.0</v>
      </c>
      <c r="I163" s="67" t="s">
        <v>17</v>
      </c>
      <c r="J163" s="67" t="s">
        <v>54</v>
      </c>
      <c r="K163" s="67" t="s">
        <v>83</v>
      </c>
      <c r="L163" s="67" t="s">
        <v>197</v>
      </c>
      <c r="M163" s="67" t="s">
        <v>84</v>
      </c>
      <c r="N163" s="67" t="s">
        <v>20</v>
      </c>
      <c r="O163" s="59" t="s">
        <v>59</v>
      </c>
      <c r="P163" s="59"/>
      <c r="Q163" s="59" t="s">
        <v>651</v>
      </c>
      <c r="R163" s="67" t="s">
        <v>114</v>
      </c>
      <c r="S163" s="59"/>
      <c r="T163" s="59"/>
      <c r="U163" s="77" t="str">
        <f t="array" ref="U163">IFERROR(INDEX(DFD!$D$2:$D$1048791,MATCH($Q163,DFD!$B$2:$B$1048791,0)),"")</f>
        <v/>
      </c>
      <c r="V163" s="77" t="str">
        <f t="array" ref="V163">IFERROR(INDEX(DFD!$F$2:$F$1048791,MATCH($Q163,DFD!$B$2:$B$1048791,0)),"")</f>
        <v/>
      </c>
      <c r="W163" s="84" t="str">
        <f t="array" ref="W163">IFERROR(INDEX(DFD!$E$2:$E$1048791,MATCH($Q163,DFD!$B$2:$B$1048791,0)),"")</f>
        <v/>
      </c>
      <c r="X163" s="84" t="str">
        <f t="array" ref="X163">IFERROR(INDEX(DFD!$K$2:$K$1048791,MATCH($Q163,DFD!$B$2:$B$1048791,0)),"")</f>
        <v/>
      </c>
      <c r="Y163" s="84" t="str">
        <f t="array" ref="Y163">IFERROR(INDEX(DFD!$L$2:$L$1048790,MATCH($Q163,DFD!$B$2:$B$1048790,0)),"")</f>
        <v/>
      </c>
      <c r="Z163" s="84">
        <f t="shared" si="4"/>
        <v>45</v>
      </c>
      <c r="AA163" s="59"/>
      <c r="AB163" s="59" t="s">
        <v>72</v>
      </c>
      <c r="AC163" s="59"/>
      <c r="AD163" s="85">
        <v>46043.0</v>
      </c>
      <c r="AE163" s="114">
        <f t="shared" si="5"/>
        <v>1</v>
      </c>
    </row>
    <row r="164" ht="15.75" customHeight="1">
      <c r="A164" s="92"/>
      <c r="B164" s="92" t="s">
        <v>155</v>
      </c>
      <c r="C164" s="116" t="s">
        <v>694</v>
      </c>
      <c r="D164" s="116" t="s">
        <v>51</v>
      </c>
      <c r="E164" s="116">
        <v>1.0</v>
      </c>
      <c r="F164" s="117">
        <v>3000.0</v>
      </c>
      <c r="G164" s="90" t="s">
        <v>53</v>
      </c>
      <c r="H164" s="118">
        <v>46174.0</v>
      </c>
      <c r="I164" s="92" t="s">
        <v>18</v>
      </c>
      <c r="J164" s="92" t="s">
        <v>54</v>
      </c>
      <c r="K164" s="92" t="s">
        <v>83</v>
      </c>
      <c r="L164" s="92" t="s">
        <v>197</v>
      </c>
      <c r="M164" s="92" t="s">
        <v>84</v>
      </c>
      <c r="N164" s="92" t="s">
        <v>20</v>
      </c>
      <c r="O164" s="87" t="s">
        <v>59</v>
      </c>
      <c r="P164" s="87"/>
      <c r="Q164" s="87" t="s">
        <v>695</v>
      </c>
      <c r="R164" s="148" t="s">
        <v>531</v>
      </c>
      <c r="S164" s="87"/>
      <c r="T164" s="87"/>
      <c r="U164" s="94" t="str">
        <f t="array" ref="U164">IFERROR(INDEX(DFD!$D$2:$D$1048791,MATCH($Q164,DFD!$B$2:$B$1048791,0)),"")</f>
        <v/>
      </c>
      <c r="V164" s="94" t="str">
        <f t="array" ref="V164">IFERROR(INDEX(DFD!$F$2:$F$1048791,MATCH($Q164,DFD!$B$2:$B$1048791,0)),"")</f>
        <v/>
      </c>
      <c r="W164" s="97" t="str">
        <f t="array" ref="W164">IFERROR(INDEX(DFD!$E$2:$E$1048791,MATCH($Q164,DFD!$B$2:$B$1048791,0)),"")</f>
        <v/>
      </c>
      <c r="X164" s="97" t="str">
        <f t="array" ref="X164">IFERROR(INDEX(DFD!$K$2:$K$1048791,MATCH($Q164,DFD!$B$2:$B$1048791,0)),"")</f>
        <v/>
      </c>
      <c r="Y164" s="97" t="str">
        <f t="array" ref="Y164">IFERROR(INDEX(DFD!$L$2:$L$1048790,MATCH($Q164,DFD!$B$2:$B$1048790,0)),"")</f>
        <v/>
      </c>
      <c r="Z164" s="97">
        <f t="shared" si="4"/>
        <v>45</v>
      </c>
      <c r="AA164" s="87"/>
      <c r="AB164" s="87" t="s">
        <v>72</v>
      </c>
      <c r="AC164" s="87"/>
      <c r="AD164" s="99">
        <v>46043.0</v>
      </c>
      <c r="AE164" s="119">
        <f t="shared" si="5"/>
        <v>1</v>
      </c>
    </row>
    <row r="165" ht="15.75" customHeight="1">
      <c r="A165" s="67"/>
      <c r="B165" s="67" t="s">
        <v>162</v>
      </c>
      <c r="C165" s="81" t="s">
        <v>697</v>
      </c>
      <c r="D165" s="81" t="s">
        <v>51</v>
      </c>
      <c r="E165" s="81">
        <v>2.0</v>
      </c>
      <c r="F165" s="113">
        <v>3000.0</v>
      </c>
      <c r="G165" s="73" t="s">
        <v>53</v>
      </c>
      <c r="H165" s="83">
        <v>46174.0</v>
      </c>
      <c r="I165" s="67" t="s">
        <v>18</v>
      </c>
      <c r="J165" s="67" t="s">
        <v>54</v>
      </c>
      <c r="K165" s="67" t="s">
        <v>83</v>
      </c>
      <c r="L165" s="67" t="s">
        <v>56</v>
      </c>
      <c r="M165" s="67" t="s">
        <v>84</v>
      </c>
      <c r="N165" s="67" t="s">
        <v>20</v>
      </c>
      <c r="O165" s="59" t="s">
        <v>59</v>
      </c>
      <c r="P165" s="59"/>
      <c r="Q165" s="59" t="s">
        <v>695</v>
      </c>
      <c r="R165" s="67" t="s">
        <v>323</v>
      </c>
      <c r="S165" s="59"/>
      <c r="T165" s="59"/>
      <c r="U165" s="77" t="str">
        <f t="array" ref="U165">IFERROR(INDEX(DFD!$D$2:$D$1048791,MATCH($Q164,DFD!$B$2:$B$1048791,0)),"")</f>
        <v/>
      </c>
      <c r="V165" s="77" t="str">
        <f t="array" ref="V165">IFERROR(INDEX(DFD!$F$2:$F$1048791,MATCH($Q164,DFD!$B$2:$B$1048791,0)),"")</f>
        <v/>
      </c>
      <c r="W165" s="84" t="str">
        <f t="array" ref="W165">IFERROR(INDEX(DFD!$E$2:$E$1048791,MATCH($Q164,DFD!$B$2:$B$1048791,0)),"")</f>
        <v/>
      </c>
      <c r="X165" s="84" t="str">
        <f t="array" ref="X165">IFERROR(INDEX(DFD!$K$2:$K$1048791,MATCH($Q164,DFD!$B$2:$B$1048791,0)),"")</f>
        <v/>
      </c>
      <c r="Y165" s="84" t="str">
        <f t="array" ref="Y165">IFERROR(INDEX(DFD!$L$2:$L$1048790,MATCH($Q164,DFD!$B$2:$B$1048790,0)),"")</f>
        <v/>
      </c>
      <c r="Z165" s="84">
        <f t="shared" si="4"/>
        <v>45</v>
      </c>
      <c r="AA165" s="59"/>
      <c r="AB165" s="59" t="s">
        <v>72</v>
      </c>
      <c r="AC165" s="59"/>
      <c r="AD165" s="85">
        <v>46043.0</v>
      </c>
      <c r="AE165" s="114">
        <f t="shared" si="5"/>
        <v>1</v>
      </c>
    </row>
    <row r="166" ht="15.75" customHeight="1">
      <c r="A166" s="92"/>
      <c r="B166" s="92" t="s">
        <v>355</v>
      </c>
      <c r="C166" s="116" t="s">
        <v>700</v>
      </c>
      <c r="D166" s="116" t="s">
        <v>51</v>
      </c>
      <c r="E166" s="116">
        <v>1.0</v>
      </c>
      <c r="F166" s="117">
        <v>2000.0</v>
      </c>
      <c r="G166" s="90"/>
      <c r="H166" s="118">
        <v>46174.0</v>
      </c>
      <c r="I166" s="92" t="s">
        <v>18</v>
      </c>
      <c r="J166" s="92"/>
      <c r="K166" s="92"/>
      <c r="L166" s="92"/>
      <c r="M166" s="92" t="s">
        <v>75</v>
      </c>
      <c r="N166" s="87" t="s">
        <v>20</v>
      </c>
      <c r="O166" s="87" t="s">
        <v>59</v>
      </c>
      <c r="P166" s="87"/>
      <c r="Q166" s="87" t="s">
        <v>702</v>
      </c>
      <c r="R166" s="92" t="s">
        <v>561</v>
      </c>
      <c r="S166" s="87"/>
      <c r="T166" s="87"/>
      <c r="U166" s="94" t="str">
        <f t="array" ref="U166">IFERROR(INDEX(DFD!$D$2:$D$1048791,MATCH($Q166,DFD!$B$2:$B$1048791,0)),"")</f>
        <v/>
      </c>
      <c r="V166" s="94" t="str">
        <f t="array" ref="V166">IFERROR(INDEX(DFD!$F$2:$F$1048791,MATCH($Q166,DFD!$B$2:$B$1048791,0)),"")</f>
        <v/>
      </c>
      <c r="W166" s="97" t="str">
        <f t="array" ref="W166">IFERROR(INDEX(DFD!$E$2:$E$1048791,MATCH($Q166,DFD!$B$2:$B$1048791,0)),"")</f>
        <v/>
      </c>
      <c r="X166" s="97" t="str">
        <f t="array" ref="X166">IFERROR(INDEX(DFD!$K$2:$K$1048791,MATCH($Q166,DFD!$B$2:$B$1048791,0)),"")</f>
        <v/>
      </c>
      <c r="Y166" s="97" t="str">
        <f t="array" ref="Y166">IFERROR(INDEX(DFD!$L$2:$L$1048790,MATCH($Q166,DFD!$B$2:$B$1048790,0)),"")</f>
        <v/>
      </c>
      <c r="Z166" s="97">
        <f t="shared" si="4"/>
        <v>45</v>
      </c>
      <c r="AA166" s="87"/>
      <c r="AB166" s="87" t="s">
        <v>72</v>
      </c>
      <c r="AC166" s="87"/>
      <c r="AD166" s="99">
        <v>46043.0</v>
      </c>
      <c r="AE166" s="119">
        <f t="shared" si="5"/>
        <v>1</v>
      </c>
    </row>
    <row r="167" ht="15.75" customHeight="1">
      <c r="A167" s="67"/>
      <c r="B167" s="67" t="s">
        <v>101</v>
      </c>
      <c r="C167" s="81" t="s">
        <v>706</v>
      </c>
      <c r="D167" s="81" t="s">
        <v>51</v>
      </c>
      <c r="E167" s="81">
        <v>3.0</v>
      </c>
      <c r="F167" s="113">
        <v>30000.0</v>
      </c>
      <c r="G167" s="73" t="s">
        <v>53</v>
      </c>
      <c r="H167" s="83">
        <v>46235.0</v>
      </c>
      <c r="I167" s="67" t="s">
        <v>18</v>
      </c>
      <c r="J167" s="67" t="s">
        <v>54</v>
      </c>
      <c r="K167" s="67" t="s">
        <v>83</v>
      </c>
      <c r="L167" s="67" t="s">
        <v>56</v>
      </c>
      <c r="M167" s="67" t="s">
        <v>84</v>
      </c>
      <c r="N167" s="67" t="s">
        <v>20</v>
      </c>
      <c r="O167" s="59" t="s">
        <v>59</v>
      </c>
      <c r="P167" s="59"/>
      <c r="Q167" s="59" t="s">
        <v>702</v>
      </c>
      <c r="R167" s="67" t="s">
        <v>561</v>
      </c>
      <c r="S167" s="59"/>
      <c r="T167" s="59"/>
      <c r="U167" s="77" t="str">
        <f t="array" ref="U167">IFERROR(INDEX(DFD!$D$2:$D$1048791,MATCH($Q167,DFD!$B$2:$B$1048791,0)),"")</f>
        <v/>
      </c>
      <c r="V167" s="77" t="str">
        <f t="array" ref="V167">IFERROR(INDEX(DFD!$F$2:$F$1048791,MATCH($Q167,DFD!$B$2:$B$1048791,0)),"")</f>
        <v/>
      </c>
      <c r="W167" s="84" t="str">
        <f t="array" ref="W167">IFERROR(INDEX(DFD!$E$2:$E$1048791,MATCH($Q167,DFD!$B$2:$B$1048791,0)),"")</f>
        <v/>
      </c>
      <c r="X167" s="84" t="str">
        <f t="array" ref="X167">IFERROR(INDEX(DFD!$K$2:$K$1048791,MATCH($Q167,DFD!$B$2:$B$1048791,0)),"")</f>
        <v/>
      </c>
      <c r="Y167" s="84" t="str">
        <f t="array" ref="Y167">IFERROR(INDEX(DFD!$L$2:$L$1048790,MATCH($Q167,DFD!$B$2:$B$1048790,0)),"")</f>
        <v/>
      </c>
      <c r="Z167" s="84">
        <f t="shared" si="4"/>
        <v>45</v>
      </c>
      <c r="AA167" s="59"/>
      <c r="AB167" s="59" t="s">
        <v>72</v>
      </c>
      <c r="AC167" s="59"/>
      <c r="AD167" s="85">
        <v>46043.0</v>
      </c>
      <c r="AE167" s="114">
        <f t="shared" si="5"/>
        <v>1</v>
      </c>
    </row>
    <row r="168" ht="15.75" customHeight="1">
      <c r="A168" s="87"/>
      <c r="B168" s="87" t="s">
        <v>172</v>
      </c>
      <c r="C168" s="88" t="s">
        <v>710</v>
      </c>
      <c r="D168" s="88" t="s">
        <v>51</v>
      </c>
      <c r="E168" s="88">
        <v>1.0</v>
      </c>
      <c r="F168" s="62">
        <v>480000.0</v>
      </c>
      <c r="G168" s="90" t="s">
        <v>53</v>
      </c>
      <c r="H168" s="91">
        <v>46143.0</v>
      </c>
      <c r="I168" s="92" t="s">
        <v>17</v>
      </c>
      <c r="J168" s="92" t="s">
        <v>54</v>
      </c>
      <c r="K168" s="92" t="s">
        <v>66</v>
      </c>
      <c r="L168" s="92" t="s">
        <v>56</v>
      </c>
      <c r="M168" s="92" t="s">
        <v>132</v>
      </c>
      <c r="N168" s="87" t="s">
        <v>20</v>
      </c>
      <c r="O168" s="87" t="s">
        <v>59</v>
      </c>
      <c r="P168" s="87"/>
      <c r="Q168" s="87" t="s">
        <v>711</v>
      </c>
      <c r="R168" s="92" t="s">
        <v>712</v>
      </c>
      <c r="S168" s="87"/>
      <c r="T168" s="87"/>
      <c r="U168" s="94" t="str">
        <f t="array" ref="U168">IFERROR(INDEX(DFD!$D$2:$D$1048791,MATCH($Q168,DFD!$B$2:$B$1048791,0)),"")</f>
        <v/>
      </c>
      <c r="V168" s="94" t="str">
        <f t="array" ref="V168">IFERROR(INDEX(DFD!$F$2:$F$1048791,MATCH($Q168,DFD!$B$2:$B$1048791,0)),"")</f>
        <v/>
      </c>
      <c r="W168" s="97" t="str">
        <f t="array" ref="W168">IFERROR(INDEX(DFD!$E$2:$E$1048791,MATCH($Q168,DFD!$B$2:$B$1048791,0)),"")</f>
        <v/>
      </c>
      <c r="X168" s="97" t="str">
        <f t="array" ref="X168">IFERROR(INDEX(DFD!$K$2:$K$1048791,MATCH($Q168,DFD!$B$2:$B$1048791,0)),"")</f>
        <v/>
      </c>
      <c r="Y168" s="97" t="str">
        <f t="array" ref="Y168">IFERROR(INDEX(DFD!$L$2:$L$1048790,MATCH($Q168,DFD!$B$2:$B$1048790,0)),"")</f>
        <v/>
      </c>
      <c r="Z168" s="97">
        <f t="shared" si="4"/>
        <v>45</v>
      </c>
      <c r="AA168" s="87"/>
      <c r="AB168" s="87" t="s">
        <v>72</v>
      </c>
      <c r="AC168" s="87"/>
      <c r="AD168" s="99">
        <v>46043.0</v>
      </c>
      <c r="AE168" s="119">
        <f t="shared" si="5"/>
        <v>1</v>
      </c>
    </row>
    <row r="169" ht="15.75" customHeight="1">
      <c r="A169" s="59"/>
      <c r="B169" s="59" t="s">
        <v>101</v>
      </c>
      <c r="C169" s="60" t="s">
        <v>716</v>
      </c>
      <c r="D169" s="60" t="s">
        <v>51</v>
      </c>
      <c r="E169" s="60">
        <v>1.0</v>
      </c>
      <c r="F169" s="138">
        <v>18000.0</v>
      </c>
      <c r="G169" s="73" t="s">
        <v>53</v>
      </c>
      <c r="H169" s="74">
        <v>46235.0</v>
      </c>
      <c r="I169" s="67" t="s">
        <v>17</v>
      </c>
      <c r="J169" s="67" t="s">
        <v>54</v>
      </c>
      <c r="K169" s="67" t="s">
        <v>55</v>
      </c>
      <c r="L169" s="67" t="s">
        <v>56</v>
      </c>
      <c r="M169" s="67" t="s">
        <v>75</v>
      </c>
      <c r="N169" s="59" t="s">
        <v>20</v>
      </c>
      <c r="O169" s="59" t="s">
        <v>59</v>
      </c>
      <c r="P169" s="59"/>
      <c r="Q169" s="59" t="s">
        <v>717</v>
      </c>
      <c r="R169" s="67" t="s">
        <v>718</v>
      </c>
      <c r="S169" s="59"/>
      <c r="T169" s="59"/>
      <c r="U169" s="77" t="str">
        <f t="array" ref="U169">IFERROR(INDEX(DFD!$D$2:$D$1048791,MATCH($Q169,DFD!$B$2:$B$1048791,0)),"")</f>
        <v/>
      </c>
      <c r="V169" s="77" t="str">
        <f t="array" ref="V169">IFERROR(INDEX(DFD!$F$2:$F$1048791,MATCH($Q169,DFD!$B$2:$B$1048791,0)),"")</f>
        <v/>
      </c>
      <c r="W169" s="84" t="str">
        <f t="array" ref="W169">IFERROR(INDEX(DFD!$E$2:$E$1048791,MATCH($Q169,DFD!$B$2:$B$1048791,0)),"")</f>
        <v/>
      </c>
      <c r="X169" s="84" t="str">
        <f t="array" ref="X169">IFERROR(INDEX(DFD!$K$2:$K$1048791,MATCH($Q169,DFD!$B$2:$B$1048791,0)),"")</f>
        <v/>
      </c>
      <c r="Y169" s="84" t="str">
        <f t="array" ref="Y169">IFERROR(INDEX(DFD!$L$2:$L$1048790,MATCH($Q169,DFD!$B$2:$B$1048790,0)),"")</f>
        <v/>
      </c>
      <c r="Z169" s="84">
        <f t="shared" si="4"/>
        <v>45</v>
      </c>
      <c r="AA169" s="59"/>
      <c r="AB169" s="59" t="s">
        <v>72</v>
      </c>
      <c r="AC169" s="59"/>
      <c r="AD169" s="85">
        <v>46043.0</v>
      </c>
      <c r="AE169" s="114">
        <f t="shared" si="5"/>
        <v>1</v>
      </c>
    </row>
    <row r="170" ht="15.75" customHeight="1">
      <c r="A170" s="92"/>
      <c r="B170" s="92" t="s">
        <v>87</v>
      </c>
      <c r="C170" s="116" t="s">
        <v>723</v>
      </c>
      <c r="D170" s="116" t="s">
        <v>51</v>
      </c>
      <c r="E170" s="116">
        <v>2.0</v>
      </c>
      <c r="F170" s="117">
        <v>2132.0</v>
      </c>
      <c r="G170" s="90" t="s">
        <v>53</v>
      </c>
      <c r="H170" s="118">
        <v>46174.0</v>
      </c>
      <c r="I170" s="92" t="s">
        <v>18</v>
      </c>
      <c r="J170" s="92" t="s">
        <v>54</v>
      </c>
      <c r="K170" s="92" t="s">
        <v>83</v>
      </c>
      <c r="L170" s="92" t="s">
        <v>67</v>
      </c>
      <c r="M170" s="92" t="s">
        <v>84</v>
      </c>
      <c r="N170" s="92" t="s">
        <v>20</v>
      </c>
      <c r="O170" s="87" t="s">
        <v>59</v>
      </c>
      <c r="P170" s="87"/>
      <c r="Q170" s="87" t="s">
        <v>724</v>
      </c>
      <c r="R170" s="92" t="s">
        <v>725</v>
      </c>
      <c r="S170" s="87"/>
      <c r="T170" s="87"/>
      <c r="U170" s="94" t="str">
        <f t="array" ref="U170">IFERROR(INDEX(DFD!$D$2:$D$1048791,MATCH($Q170,DFD!$B$2:$B$1048791,0)),"")</f>
        <v/>
      </c>
      <c r="V170" s="94" t="str">
        <f t="array" ref="V170">IFERROR(INDEX(DFD!$F$2:$F$1048791,MATCH($Q170,DFD!$B$2:$B$1048791,0)),"")</f>
        <v/>
      </c>
      <c r="W170" s="97" t="str">
        <f t="array" ref="W170">IFERROR(INDEX(DFD!$E$2:$E$1048791,MATCH($Q170,DFD!$B$2:$B$1048791,0)),"")</f>
        <v/>
      </c>
      <c r="X170" s="97" t="str">
        <f t="array" ref="X170">IFERROR(INDEX(DFD!$K$2:$K$1048791,MATCH($Q170,DFD!$B$2:$B$1048791,0)),"")</f>
        <v/>
      </c>
      <c r="Y170" s="97" t="str">
        <f t="array" ref="Y170">IFERROR(INDEX(DFD!$L$2:$L$1048790,MATCH($Q170,DFD!$B$2:$B$1048790,0)),"")</f>
        <v/>
      </c>
      <c r="Z170" s="97">
        <f t="shared" si="4"/>
        <v>45</v>
      </c>
      <c r="AA170" s="87"/>
      <c r="AB170" s="87" t="s">
        <v>72</v>
      </c>
      <c r="AC170" s="87"/>
      <c r="AD170" s="99">
        <v>46043.0</v>
      </c>
      <c r="AE170" s="119">
        <f t="shared" si="5"/>
        <v>1</v>
      </c>
    </row>
    <row r="171" ht="15.75" customHeight="1">
      <c r="A171" s="67"/>
      <c r="B171" s="67" t="s">
        <v>171</v>
      </c>
      <c r="C171" s="81" t="s">
        <v>727</v>
      </c>
      <c r="D171" s="81" t="s">
        <v>51</v>
      </c>
      <c r="E171" s="81">
        <v>3.0</v>
      </c>
      <c r="F171" s="113">
        <v>4500.0</v>
      </c>
      <c r="G171" s="73" t="s">
        <v>53</v>
      </c>
      <c r="H171" s="83">
        <v>46204.0</v>
      </c>
      <c r="I171" s="67" t="s">
        <v>18</v>
      </c>
      <c r="J171" s="67" t="s">
        <v>54</v>
      </c>
      <c r="K171" s="67" t="s">
        <v>83</v>
      </c>
      <c r="L171" s="67" t="s">
        <v>67</v>
      </c>
      <c r="M171" s="67" t="s">
        <v>84</v>
      </c>
      <c r="N171" s="67" t="s">
        <v>20</v>
      </c>
      <c r="O171" s="59" t="s">
        <v>59</v>
      </c>
      <c r="P171" s="59"/>
      <c r="Q171" s="59" t="s">
        <v>724</v>
      </c>
      <c r="R171" s="67" t="s">
        <v>725</v>
      </c>
      <c r="S171" s="59"/>
      <c r="T171" s="59"/>
      <c r="U171" s="77" t="str">
        <f t="array" ref="U171">IFERROR(INDEX(DFD!$D$2:$D$1048791,MATCH($Q171,DFD!$B$2:$B$1048791,0)),"")</f>
        <v/>
      </c>
      <c r="V171" s="77" t="str">
        <f t="array" ref="V171">IFERROR(INDEX(DFD!$F$2:$F$1048791,MATCH($Q171,DFD!$B$2:$B$1048791,0)),"")</f>
        <v/>
      </c>
      <c r="W171" s="84" t="str">
        <f t="array" ref="W171">IFERROR(INDEX(DFD!$E$2:$E$1048791,MATCH($Q171,DFD!$B$2:$B$1048791,0)),"")</f>
        <v/>
      </c>
      <c r="X171" s="84" t="str">
        <f t="array" ref="X171">IFERROR(INDEX(DFD!$K$2:$K$1048791,MATCH($Q171,DFD!$B$2:$B$1048791,0)),"")</f>
        <v/>
      </c>
      <c r="Y171" s="84" t="str">
        <f t="array" ref="Y171">IFERROR(INDEX(DFD!$L$2:$L$1048790,MATCH($Q171,DFD!$B$2:$B$1048790,0)),"")</f>
        <v/>
      </c>
      <c r="Z171" s="84">
        <f t="shared" si="4"/>
        <v>45</v>
      </c>
      <c r="AA171" s="59"/>
      <c r="AB171" s="59" t="s">
        <v>72</v>
      </c>
      <c r="AC171" s="59"/>
      <c r="AD171" s="85">
        <v>46043.0</v>
      </c>
      <c r="AE171" s="114">
        <f t="shared" si="5"/>
        <v>1</v>
      </c>
    </row>
    <row r="172" ht="15.75" customHeight="1">
      <c r="A172" s="92"/>
      <c r="B172" s="92" t="s">
        <v>80</v>
      </c>
      <c r="C172" s="116" t="s">
        <v>727</v>
      </c>
      <c r="D172" s="116" t="s">
        <v>51</v>
      </c>
      <c r="E172" s="116">
        <v>1.0</v>
      </c>
      <c r="F172" s="117">
        <v>1500.0</v>
      </c>
      <c r="G172" s="90" t="s">
        <v>53</v>
      </c>
      <c r="H172" s="118">
        <v>46174.0</v>
      </c>
      <c r="I172" s="92" t="s">
        <v>18</v>
      </c>
      <c r="J172" s="92" t="s">
        <v>54</v>
      </c>
      <c r="K172" s="92" t="s">
        <v>83</v>
      </c>
      <c r="L172" s="92" t="s">
        <v>67</v>
      </c>
      <c r="M172" s="92" t="s">
        <v>84</v>
      </c>
      <c r="N172" s="92" t="s">
        <v>20</v>
      </c>
      <c r="O172" s="87" t="s">
        <v>59</v>
      </c>
      <c r="P172" s="87"/>
      <c r="Q172" s="87" t="s">
        <v>724</v>
      </c>
      <c r="R172" s="92" t="s">
        <v>725</v>
      </c>
      <c r="S172" s="87"/>
      <c r="T172" s="87"/>
      <c r="U172" s="94" t="str">
        <f t="array" ref="U172">IFERROR(INDEX(DFD!$D$2:$D$1048791,MATCH($Q172,DFD!$B$2:$B$1048791,0)),"")</f>
        <v/>
      </c>
      <c r="V172" s="94" t="str">
        <f t="array" ref="V172">IFERROR(INDEX(DFD!$F$2:$F$1048791,MATCH($Q172,DFD!$B$2:$B$1048791,0)),"")</f>
        <v/>
      </c>
      <c r="W172" s="97" t="str">
        <f t="array" ref="W172">IFERROR(INDEX(DFD!$E$2:$E$1048791,MATCH($Q172,DFD!$B$2:$B$1048791,0)),"")</f>
        <v/>
      </c>
      <c r="X172" s="97" t="str">
        <f t="array" ref="X172">IFERROR(INDEX(DFD!$K$2:$K$1048791,MATCH($Q172,DFD!$B$2:$B$1048791,0)),"")</f>
        <v/>
      </c>
      <c r="Y172" s="97" t="str">
        <f t="array" ref="Y172">IFERROR(INDEX(DFD!$L$2:$L$1048790,MATCH($Q172,DFD!$B$2:$B$1048790,0)),"")</f>
        <v/>
      </c>
      <c r="Z172" s="97">
        <f t="shared" si="4"/>
        <v>45</v>
      </c>
      <c r="AA172" s="87"/>
      <c r="AB172" s="87" t="s">
        <v>72</v>
      </c>
      <c r="AC172" s="87"/>
      <c r="AD172" s="99">
        <v>46043.0</v>
      </c>
      <c r="AE172" s="119">
        <f t="shared" si="5"/>
        <v>1</v>
      </c>
    </row>
    <row r="173" ht="15.75" customHeight="1">
      <c r="A173" s="67"/>
      <c r="B173" s="67" t="s">
        <v>171</v>
      </c>
      <c r="C173" s="81" t="s">
        <v>734</v>
      </c>
      <c r="D173" s="81" t="s">
        <v>51</v>
      </c>
      <c r="E173" s="81">
        <v>1.0</v>
      </c>
      <c r="F173" s="113">
        <v>2500.0</v>
      </c>
      <c r="G173" s="73" t="s">
        <v>53</v>
      </c>
      <c r="H173" s="83">
        <v>46174.0</v>
      </c>
      <c r="I173" s="67" t="s">
        <v>18</v>
      </c>
      <c r="J173" s="67" t="s">
        <v>54</v>
      </c>
      <c r="K173" s="67" t="s">
        <v>83</v>
      </c>
      <c r="L173" s="67" t="s">
        <v>56</v>
      </c>
      <c r="M173" s="67" t="s">
        <v>84</v>
      </c>
      <c r="N173" s="67" t="s">
        <v>20</v>
      </c>
      <c r="O173" s="59" t="s">
        <v>59</v>
      </c>
      <c r="P173" s="59"/>
      <c r="Q173" s="59" t="s">
        <v>735</v>
      </c>
      <c r="R173" s="67" t="s">
        <v>736</v>
      </c>
      <c r="S173" s="59"/>
      <c r="T173" s="59"/>
      <c r="U173" s="77" t="str">
        <f t="array" ref="U173">IFERROR(INDEX(DFD!$D$2:$D$1048791,MATCH($Q173,DFD!$B$2:$B$1048791,0)),"")</f>
        <v/>
      </c>
      <c r="V173" s="77" t="str">
        <f t="array" ref="V173">IFERROR(INDEX(DFD!$F$2:$F$1048791,MATCH($Q173,DFD!$B$2:$B$1048791,0)),"")</f>
        <v/>
      </c>
      <c r="W173" s="84" t="str">
        <f t="array" ref="W173">IFERROR(INDEX(DFD!$E$2:$E$1048791,MATCH($Q173,DFD!$B$2:$B$1048791,0)),"")</f>
        <v/>
      </c>
      <c r="X173" s="84" t="str">
        <f t="array" ref="X173">IFERROR(INDEX(DFD!$K$2:$K$1048791,MATCH($Q173,DFD!$B$2:$B$1048791,0)),"")</f>
        <v/>
      </c>
      <c r="Y173" s="84" t="str">
        <f t="array" ref="Y173">IFERROR(INDEX(DFD!$L$2:$L$1048790,MATCH($Q173,DFD!$B$2:$B$1048790,0)),"")</f>
        <v/>
      </c>
      <c r="Z173" s="84">
        <f t="shared" si="4"/>
        <v>45</v>
      </c>
      <c r="AA173" s="59"/>
      <c r="AB173" s="59" t="s">
        <v>72</v>
      </c>
      <c r="AC173" s="59"/>
      <c r="AD173" s="85">
        <v>46043.0</v>
      </c>
      <c r="AE173" s="114">
        <f t="shared" si="5"/>
        <v>1</v>
      </c>
    </row>
    <row r="174" ht="77.25" customHeight="1">
      <c r="A174" s="92"/>
      <c r="B174" s="92" t="s">
        <v>87</v>
      </c>
      <c r="C174" s="116" t="s">
        <v>739</v>
      </c>
      <c r="D174" s="116" t="s">
        <v>51</v>
      </c>
      <c r="E174" s="116">
        <v>1.0</v>
      </c>
      <c r="F174" s="117">
        <v>1000.0</v>
      </c>
      <c r="G174" s="90" t="s">
        <v>53</v>
      </c>
      <c r="H174" s="118">
        <v>46174.0</v>
      </c>
      <c r="I174" s="92" t="s">
        <v>18</v>
      </c>
      <c r="J174" s="92" t="s">
        <v>54</v>
      </c>
      <c r="K174" s="92" t="s">
        <v>83</v>
      </c>
      <c r="L174" s="92" t="s">
        <v>56</v>
      </c>
      <c r="M174" s="92" t="s">
        <v>84</v>
      </c>
      <c r="N174" s="92" t="s">
        <v>20</v>
      </c>
      <c r="O174" s="87" t="s">
        <v>59</v>
      </c>
      <c r="P174" s="87"/>
      <c r="Q174" s="87" t="s">
        <v>735</v>
      </c>
      <c r="R174" s="92" t="s">
        <v>736</v>
      </c>
      <c r="S174" s="87"/>
      <c r="T174" s="87"/>
      <c r="U174" s="94" t="str">
        <f t="array" ref="U174">IFERROR(INDEX(DFD!$D$2:$D$1048791,MATCH($Q174,DFD!$B$2:$B$1048791,0)),"")</f>
        <v/>
      </c>
      <c r="V174" s="94" t="str">
        <f t="array" ref="V174">IFERROR(INDEX(DFD!$F$2:$F$1048791,MATCH($Q174,DFD!$B$2:$B$1048791,0)),"")</f>
        <v/>
      </c>
      <c r="W174" s="97" t="str">
        <f t="array" ref="W174">IFERROR(INDEX(DFD!$E$2:$E$1048791,MATCH($Q174,DFD!$B$2:$B$1048791,0)),"")</f>
        <v/>
      </c>
      <c r="X174" s="97" t="str">
        <f t="array" ref="X174">IFERROR(INDEX(DFD!$K$2:$K$1048791,MATCH($Q174,DFD!$B$2:$B$1048791,0)),"")</f>
        <v/>
      </c>
      <c r="Y174" s="97" t="str">
        <f t="array" ref="Y174">IFERROR(INDEX(DFD!$L$2:$L$1048790,MATCH($Q174,DFD!$B$2:$B$1048790,0)),"")</f>
        <v/>
      </c>
      <c r="Z174" s="97">
        <f t="shared" si="4"/>
        <v>45</v>
      </c>
      <c r="AA174" s="87"/>
      <c r="AB174" s="87" t="s">
        <v>72</v>
      </c>
      <c r="AC174" s="87"/>
      <c r="AD174" s="99">
        <v>46043.0</v>
      </c>
      <c r="AE174" s="119">
        <f t="shared" si="5"/>
        <v>1</v>
      </c>
    </row>
    <row r="175" ht="51.75" customHeight="1">
      <c r="A175" s="67"/>
      <c r="B175" s="67" t="s">
        <v>80</v>
      </c>
      <c r="C175" s="81" t="s">
        <v>743</v>
      </c>
      <c r="D175" s="81" t="s">
        <v>51</v>
      </c>
      <c r="E175" s="81">
        <v>1.0</v>
      </c>
      <c r="F175" s="113">
        <v>5000.0</v>
      </c>
      <c r="G175" s="73" t="s">
        <v>53</v>
      </c>
      <c r="H175" s="83">
        <v>46204.0</v>
      </c>
      <c r="I175" s="67" t="s">
        <v>18</v>
      </c>
      <c r="J175" s="67" t="s">
        <v>54</v>
      </c>
      <c r="K175" s="67" t="s">
        <v>83</v>
      </c>
      <c r="L175" s="67" t="s">
        <v>56</v>
      </c>
      <c r="M175" s="67" t="s">
        <v>84</v>
      </c>
      <c r="N175" s="67" t="s">
        <v>20</v>
      </c>
      <c r="O175" s="59" t="s">
        <v>59</v>
      </c>
      <c r="P175" s="59"/>
      <c r="Q175" s="59" t="s">
        <v>735</v>
      </c>
      <c r="R175" s="67" t="s">
        <v>736</v>
      </c>
      <c r="S175" s="59"/>
      <c r="T175" s="59"/>
      <c r="U175" s="77" t="str">
        <f t="array" ref="U175">IFERROR(INDEX(DFD!$D$2:$D$1048791,MATCH($Q175,DFD!$B$2:$B$1048791,0)),"")</f>
        <v/>
      </c>
      <c r="V175" s="77" t="str">
        <f t="array" ref="V175">IFERROR(INDEX(DFD!$F$2:$F$1048791,MATCH($Q175,DFD!$B$2:$B$1048791,0)),"")</f>
        <v/>
      </c>
      <c r="W175" s="84" t="str">
        <f t="array" ref="W175">IFERROR(INDEX(DFD!$E$2:$E$1048791,MATCH($Q175,DFD!$B$2:$B$1048791,0)),"")</f>
        <v/>
      </c>
      <c r="X175" s="84" t="str">
        <f t="array" ref="X175">IFERROR(INDEX(DFD!$K$2:$K$1048791,MATCH($Q175,DFD!$B$2:$B$1048791,0)),"")</f>
        <v/>
      </c>
      <c r="Y175" s="84" t="str">
        <f t="array" ref="Y175">IFERROR(INDEX(DFD!$L$2:$L$1048790,MATCH($Q175,DFD!$B$2:$B$1048790,0)),"")</f>
        <v/>
      </c>
      <c r="Z175" s="84">
        <f t="shared" si="4"/>
        <v>45</v>
      </c>
      <c r="AA175" s="59"/>
      <c r="AB175" s="59" t="s">
        <v>72</v>
      </c>
      <c r="AC175" s="59"/>
      <c r="AD175" s="85">
        <v>46043.0</v>
      </c>
      <c r="AE175" s="114">
        <f t="shared" si="5"/>
        <v>1</v>
      </c>
    </row>
    <row r="176" ht="51.75" customHeight="1">
      <c r="A176" s="92"/>
      <c r="B176" s="92" t="s">
        <v>94</v>
      </c>
      <c r="C176" s="116" t="s">
        <v>743</v>
      </c>
      <c r="D176" s="116" t="s">
        <v>51</v>
      </c>
      <c r="E176" s="116">
        <v>1.0</v>
      </c>
      <c r="F176" s="117">
        <v>5000.0</v>
      </c>
      <c r="G176" s="90" t="s">
        <v>53</v>
      </c>
      <c r="H176" s="118">
        <v>46204.0</v>
      </c>
      <c r="I176" s="92" t="s">
        <v>18</v>
      </c>
      <c r="J176" s="92" t="s">
        <v>54</v>
      </c>
      <c r="K176" s="92" t="s">
        <v>83</v>
      </c>
      <c r="L176" s="92" t="s">
        <v>56</v>
      </c>
      <c r="M176" s="92" t="s">
        <v>84</v>
      </c>
      <c r="N176" s="92" t="s">
        <v>20</v>
      </c>
      <c r="O176" s="87" t="s">
        <v>59</v>
      </c>
      <c r="P176" s="87"/>
      <c r="Q176" s="87" t="s">
        <v>735</v>
      </c>
      <c r="R176" s="92" t="s">
        <v>736</v>
      </c>
      <c r="S176" s="87"/>
      <c r="T176" s="87"/>
      <c r="U176" s="94" t="str">
        <f t="array" ref="U176">IFERROR(INDEX(DFD!$D$2:$D$1048791,MATCH($Q176,DFD!$B$2:$B$1048791,0)),"")</f>
        <v/>
      </c>
      <c r="V176" s="94" t="str">
        <f t="array" ref="V176">IFERROR(INDEX(DFD!$F$2:$F$1048791,MATCH($Q176,DFD!$B$2:$B$1048791,0)),"")</f>
        <v/>
      </c>
      <c r="W176" s="97" t="str">
        <f t="array" ref="W176">IFERROR(INDEX(DFD!$E$2:$E$1048791,MATCH($Q176,DFD!$B$2:$B$1048791,0)),"")</f>
        <v/>
      </c>
      <c r="X176" s="97" t="str">
        <f t="array" ref="X176">IFERROR(INDEX(DFD!$K$2:$K$1048791,MATCH($Q176,DFD!$B$2:$B$1048791,0)),"")</f>
        <v/>
      </c>
      <c r="Y176" s="97" t="str">
        <f t="array" ref="Y176">IFERROR(INDEX(DFD!$L$2:$L$1048790,MATCH($Q176,DFD!$B$2:$B$1048790,0)),"")</f>
        <v/>
      </c>
      <c r="Z176" s="97">
        <f t="shared" si="4"/>
        <v>45</v>
      </c>
      <c r="AA176" s="87"/>
      <c r="AB176" s="87" t="s">
        <v>72</v>
      </c>
      <c r="AC176" s="87"/>
      <c r="AD176" s="99">
        <v>46043.0</v>
      </c>
      <c r="AE176" s="119">
        <f t="shared" si="5"/>
        <v>1</v>
      </c>
    </row>
    <row r="177" ht="77.25" customHeight="1">
      <c r="A177" s="67"/>
      <c r="B177" s="67" t="s">
        <v>81</v>
      </c>
      <c r="C177" s="81" t="s">
        <v>743</v>
      </c>
      <c r="D177" s="81" t="s">
        <v>51</v>
      </c>
      <c r="E177" s="81">
        <v>1.0</v>
      </c>
      <c r="F177" s="113">
        <v>5000.0</v>
      </c>
      <c r="G177" s="73" t="s">
        <v>53</v>
      </c>
      <c r="H177" s="83">
        <v>46204.0</v>
      </c>
      <c r="I177" s="67" t="s">
        <v>18</v>
      </c>
      <c r="J177" s="67" t="s">
        <v>54</v>
      </c>
      <c r="K177" s="67" t="s">
        <v>83</v>
      </c>
      <c r="L177" s="67" t="s">
        <v>56</v>
      </c>
      <c r="M177" s="67" t="s">
        <v>84</v>
      </c>
      <c r="N177" s="67" t="s">
        <v>20</v>
      </c>
      <c r="O177" s="59" t="s">
        <v>59</v>
      </c>
      <c r="P177" s="59"/>
      <c r="Q177" s="59" t="s">
        <v>735</v>
      </c>
      <c r="R177" s="67" t="s">
        <v>736</v>
      </c>
      <c r="S177" s="59"/>
      <c r="T177" s="59"/>
      <c r="U177" s="77" t="str">
        <f t="array" ref="U177">IFERROR(INDEX(DFD!$D$2:$D$1048791,MATCH($Q177,DFD!$B$2:$B$1048791,0)),"")</f>
        <v/>
      </c>
      <c r="V177" s="77" t="str">
        <f t="array" ref="V177">IFERROR(INDEX(DFD!$F$2:$F$1048791,MATCH($Q177,DFD!$B$2:$B$1048791,0)),"")</f>
        <v/>
      </c>
      <c r="W177" s="84" t="str">
        <f t="array" ref="W177">IFERROR(INDEX(DFD!$E$2:$E$1048791,MATCH($Q177,DFD!$B$2:$B$1048791,0)),"")</f>
        <v/>
      </c>
      <c r="X177" s="84" t="str">
        <f t="array" ref="X177">IFERROR(INDEX(DFD!$K$2:$K$1048791,MATCH($Q177,DFD!$B$2:$B$1048791,0)),"")</f>
        <v/>
      </c>
      <c r="Y177" s="84" t="str">
        <f t="array" ref="Y177">IFERROR(INDEX(DFD!$L$2:$L$1048790,MATCH($Q177,DFD!$B$2:$B$1048790,0)),"")</f>
        <v/>
      </c>
      <c r="Z177" s="84">
        <f t="shared" si="4"/>
        <v>45</v>
      </c>
      <c r="AA177" s="59"/>
      <c r="AB177" s="59" t="s">
        <v>72</v>
      </c>
      <c r="AC177" s="59"/>
      <c r="AD177" s="85">
        <v>46043.0</v>
      </c>
      <c r="AE177" s="114">
        <f t="shared" si="5"/>
        <v>1</v>
      </c>
    </row>
    <row r="178" ht="77.25" customHeight="1">
      <c r="A178" s="92"/>
      <c r="B178" s="92" t="s">
        <v>355</v>
      </c>
      <c r="C178" s="116" t="s">
        <v>743</v>
      </c>
      <c r="D178" s="116" t="s">
        <v>51</v>
      </c>
      <c r="E178" s="116">
        <v>1.0</v>
      </c>
      <c r="F178" s="117">
        <v>5000.0</v>
      </c>
      <c r="G178" s="90" t="s">
        <v>53</v>
      </c>
      <c r="H178" s="118">
        <v>46204.0</v>
      </c>
      <c r="I178" s="92" t="s">
        <v>18</v>
      </c>
      <c r="J178" s="92" t="s">
        <v>54</v>
      </c>
      <c r="K178" s="92" t="s">
        <v>83</v>
      </c>
      <c r="L178" s="92" t="s">
        <v>56</v>
      </c>
      <c r="M178" s="92" t="s">
        <v>84</v>
      </c>
      <c r="N178" s="92" t="s">
        <v>20</v>
      </c>
      <c r="O178" s="87" t="s">
        <v>59</v>
      </c>
      <c r="P178" s="87"/>
      <c r="Q178" s="87" t="s">
        <v>735</v>
      </c>
      <c r="R178" s="92" t="s">
        <v>736</v>
      </c>
      <c r="S178" s="87"/>
      <c r="T178" s="87"/>
      <c r="U178" s="94" t="str">
        <f t="array" ref="U178">IFERROR(INDEX(DFD!$D$2:$D$1048791,MATCH($Q178,DFD!$B$2:$B$1048791,0)),"")</f>
        <v/>
      </c>
      <c r="V178" s="94" t="str">
        <f t="array" ref="V178">IFERROR(INDEX(DFD!$F$2:$F$1048791,MATCH($Q178,DFD!$B$2:$B$1048791,0)),"")</f>
        <v/>
      </c>
      <c r="W178" s="97" t="str">
        <f t="array" ref="W178">IFERROR(INDEX(DFD!$E$2:$E$1048791,MATCH($Q178,DFD!$B$2:$B$1048791,0)),"")</f>
        <v/>
      </c>
      <c r="X178" s="97" t="str">
        <f t="array" ref="X178">IFERROR(INDEX(DFD!$K$2:$K$1048791,MATCH($Q178,DFD!$B$2:$B$1048791,0)),"")</f>
        <v/>
      </c>
      <c r="Y178" s="97" t="str">
        <f t="array" ref="Y178">IFERROR(INDEX(DFD!$L$2:$L$1048790,MATCH($Q178,DFD!$B$2:$B$1048790,0)),"")</f>
        <v/>
      </c>
      <c r="Z178" s="97">
        <f t="shared" si="4"/>
        <v>45</v>
      </c>
      <c r="AA178" s="87"/>
      <c r="AB178" s="87" t="s">
        <v>72</v>
      </c>
      <c r="AC178" s="87"/>
      <c r="AD178" s="99">
        <v>46043.0</v>
      </c>
      <c r="AE178" s="119">
        <f t="shared" si="5"/>
        <v>1</v>
      </c>
    </row>
    <row r="179" ht="51.75" customHeight="1">
      <c r="A179" s="67"/>
      <c r="B179" s="67" t="s">
        <v>174</v>
      </c>
      <c r="C179" s="81" t="s">
        <v>760</v>
      </c>
      <c r="D179" s="81" t="s">
        <v>51</v>
      </c>
      <c r="E179" s="81">
        <v>1.0</v>
      </c>
      <c r="F179" s="113">
        <v>200.0</v>
      </c>
      <c r="G179" s="73" t="s">
        <v>53</v>
      </c>
      <c r="H179" s="83">
        <v>46143.0</v>
      </c>
      <c r="I179" s="67" t="s">
        <v>18</v>
      </c>
      <c r="J179" s="67" t="s">
        <v>54</v>
      </c>
      <c r="K179" s="67" t="s">
        <v>83</v>
      </c>
      <c r="L179" s="67" t="s">
        <v>56</v>
      </c>
      <c r="M179" s="67" t="s">
        <v>84</v>
      </c>
      <c r="N179" s="67" t="s">
        <v>20</v>
      </c>
      <c r="O179" s="59" t="s">
        <v>59</v>
      </c>
      <c r="P179" s="59"/>
      <c r="Q179" s="59" t="s">
        <v>735</v>
      </c>
      <c r="R179" s="67" t="s">
        <v>736</v>
      </c>
      <c r="S179" s="59"/>
      <c r="T179" s="59"/>
      <c r="U179" s="77" t="str">
        <f t="array" ref="U179">IFERROR(INDEX(DFD!$D$2:$D$1048791,MATCH($Q179,DFD!$B$2:$B$1048791,0)),"")</f>
        <v/>
      </c>
      <c r="V179" s="77" t="str">
        <f t="array" ref="V179">IFERROR(INDEX(DFD!$F$2:$F$1048791,MATCH($Q179,DFD!$B$2:$B$1048791,0)),"")</f>
        <v/>
      </c>
      <c r="W179" s="84" t="str">
        <f t="array" ref="W179">IFERROR(INDEX(DFD!$E$2:$E$1048791,MATCH($Q179,DFD!$B$2:$B$1048791,0)),"")</f>
        <v/>
      </c>
      <c r="X179" s="84" t="str">
        <f t="array" ref="X179">IFERROR(INDEX(DFD!$K$2:$K$1048791,MATCH($Q179,DFD!$B$2:$B$1048791,0)),"")</f>
        <v/>
      </c>
      <c r="Y179" s="84" t="str">
        <f t="array" ref="Y179">IFERROR(INDEX(DFD!$L$2:$L$1048790,MATCH($Q179,DFD!$B$2:$B$1048790,0)),"")</f>
        <v/>
      </c>
      <c r="Z179" s="84">
        <f t="shared" si="4"/>
        <v>45</v>
      </c>
      <c r="AA179" s="59"/>
      <c r="AB179" s="59" t="s">
        <v>72</v>
      </c>
      <c r="AC179" s="59"/>
      <c r="AD179" s="85">
        <v>46043.0</v>
      </c>
      <c r="AE179" s="114">
        <f t="shared" si="5"/>
        <v>1</v>
      </c>
    </row>
    <row r="180" ht="77.25" customHeight="1">
      <c r="A180" s="87"/>
      <c r="B180" s="87" t="s">
        <v>101</v>
      </c>
      <c r="C180" s="88" t="s">
        <v>763</v>
      </c>
      <c r="D180" s="88" t="s">
        <v>51</v>
      </c>
      <c r="E180" s="88">
        <v>4.0</v>
      </c>
      <c r="F180" s="139">
        <v>57600.0</v>
      </c>
      <c r="G180" s="90" t="s">
        <v>53</v>
      </c>
      <c r="H180" s="91">
        <v>46266.0</v>
      </c>
      <c r="I180" s="92" t="s">
        <v>18</v>
      </c>
      <c r="J180" s="92" t="s">
        <v>54</v>
      </c>
      <c r="K180" s="92" t="s">
        <v>66</v>
      </c>
      <c r="L180" s="92" t="s">
        <v>56</v>
      </c>
      <c r="M180" s="92" t="s">
        <v>132</v>
      </c>
      <c r="N180" s="87" t="s">
        <v>20</v>
      </c>
      <c r="O180" s="87" t="s">
        <v>59</v>
      </c>
      <c r="P180" s="87"/>
      <c r="Q180" s="87" t="s">
        <v>735</v>
      </c>
      <c r="R180" s="92" t="s">
        <v>302</v>
      </c>
      <c r="S180" s="87"/>
      <c r="T180" s="87"/>
      <c r="U180" s="94" t="str">
        <f t="array" ref="U180">IFERROR(INDEX(DFD!$D$2:$D$1048791,MATCH($Q180,DFD!$B$2:$B$1048791,0)),"")</f>
        <v/>
      </c>
      <c r="V180" s="94" t="str">
        <f t="array" ref="V180">IFERROR(INDEX(DFD!$F$2:$F$1048791,MATCH($Q180,DFD!$B$2:$B$1048791,0)),"")</f>
        <v/>
      </c>
      <c r="W180" s="97" t="str">
        <f t="array" ref="W180">IFERROR(INDEX(DFD!$E$2:$E$1048791,MATCH($Q180,DFD!$B$2:$B$1048791,0)),"")</f>
        <v/>
      </c>
      <c r="X180" s="97" t="str">
        <f t="array" ref="X180">IFERROR(INDEX(DFD!$K$2:$K$1048791,MATCH($Q180,DFD!$B$2:$B$1048791,0)),"")</f>
        <v/>
      </c>
      <c r="Y180" s="97" t="str">
        <f t="array" ref="Y180">IFERROR(INDEX(DFD!$L$2:$L$1048790,MATCH($Q180,DFD!$B$2:$B$1048790,0)),"")</f>
        <v/>
      </c>
      <c r="Z180" s="97">
        <f t="shared" si="4"/>
        <v>45</v>
      </c>
      <c r="AA180" s="87"/>
      <c r="AB180" s="87" t="s">
        <v>72</v>
      </c>
      <c r="AC180" s="87"/>
      <c r="AD180" s="99">
        <v>46043.0</v>
      </c>
      <c r="AE180" s="119">
        <f t="shared" si="5"/>
        <v>1</v>
      </c>
    </row>
    <row r="181" ht="51.75" customHeight="1">
      <c r="A181" s="67"/>
      <c r="B181" s="67" t="s">
        <v>174</v>
      </c>
      <c r="C181" s="81" t="s">
        <v>765</v>
      </c>
      <c r="D181" s="81" t="s">
        <v>51</v>
      </c>
      <c r="E181" s="81">
        <v>1.0</v>
      </c>
      <c r="F181" s="113">
        <v>400.0</v>
      </c>
      <c r="G181" s="73" t="s">
        <v>53</v>
      </c>
      <c r="H181" s="83">
        <v>46174.0</v>
      </c>
      <c r="I181" s="67" t="s">
        <v>18</v>
      </c>
      <c r="J181" s="67" t="s">
        <v>54</v>
      </c>
      <c r="K181" s="67" t="s">
        <v>83</v>
      </c>
      <c r="L181" s="67" t="s">
        <v>56</v>
      </c>
      <c r="M181" s="67" t="s">
        <v>84</v>
      </c>
      <c r="N181" s="67" t="s">
        <v>20</v>
      </c>
      <c r="O181" s="59" t="s">
        <v>59</v>
      </c>
      <c r="P181" s="59"/>
      <c r="Q181" s="59" t="s">
        <v>735</v>
      </c>
      <c r="R181" s="67" t="s">
        <v>302</v>
      </c>
      <c r="S181" s="59"/>
      <c r="T181" s="59"/>
      <c r="U181" s="77" t="str">
        <f t="array" ref="U181">IFERROR(INDEX(DFD!$D$2:$D$1048791,MATCH($Q181,DFD!$B$2:$B$1048791,0)),"")</f>
        <v/>
      </c>
      <c r="V181" s="77" t="str">
        <f t="array" ref="V181">IFERROR(INDEX(DFD!$F$2:$F$1048791,MATCH($Q181,DFD!$B$2:$B$1048791,0)),"")</f>
        <v/>
      </c>
      <c r="W181" s="84" t="str">
        <f t="array" ref="W181">IFERROR(INDEX(DFD!$E$2:$E$1048791,MATCH($Q181,DFD!$B$2:$B$1048791,0)),"")</f>
        <v/>
      </c>
      <c r="X181" s="84" t="str">
        <f t="array" ref="X181">IFERROR(INDEX(DFD!$K$2:$K$1048791,MATCH($Q181,DFD!$B$2:$B$1048791,0)),"")</f>
        <v/>
      </c>
      <c r="Y181" s="84" t="str">
        <f t="array" ref="Y181">IFERROR(INDEX(DFD!$L$2:$L$1048790,MATCH($Q181,DFD!$B$2:$B$1048790,0)),"")</f>
        <v/>
      </c>
      <c r="Z181" s="84">
        <f t="shared" si="4"/>
        <v>45</v>
      </c>
      <c r="AA181" s="59"/>
      <c r="AB181" s="59" t="s">
        <v>72</v>
      </c>
      <c r="AC181" s="59"/>
      <c r="AD181" s="85">
        <v>46043.0</v>
      </c>
      <c r="AE181" s="114">
        <f t="shared" si="5"/>
        <v>1</v>
      </c>
    </row>
    <row r="182" ht="51.75" customHeight="1">
      <c r="A182" s="92"/>
      <c r="B182" s="92" t="s">
        <v>101</v>
      </c>
      <c r="C182" s="116" t="s">
        <v>768</v>
      </c>
      <c r="D182" s="116" t="s">
        <v>51</v>
      </c>
      <c r="E182" s="116">
        <v>3.0</v>
      </c>
      <c r="F182" s="117">
        <v>5400.0</v>
      </c>
      <c r="G182" s="90" t="s">
        <v>53</v>
      </c>
      <c r="H182" s="118">
        <v>46204.0</v>
      </c>
      <c r="I182" s="92" t="s">
        <v>18</v>
      </c>
      <c r="J182" s="92" t="s">
        <v>54</v>
      </c>
      <c r="K182" s="92" t="s">
        <v>83</v>
      </c>
      <c r="L182" s="92" t="s">
        <v>56</v>
      </c>
      <c r="M182" s="92" t="s">
        <v>84</v>
      </c>
      <c r="N182" s="92" t="s">
        <v>20</v>
      </c>
      <c r="O182" s="87" t="s">
        <v>59</v>
      </c>
      <c r="P182" s="87"/>
      <c r="Q182" s="87" t="s">
        <v>735</v>
      </c>
      <c r="R182" s="92" t="s">
        <v>302</v>
      </c>
      <c r="S182" s="87"/>
      <c r="T182" s="87"/>
      <c r="U182" s="94" t="str">
        <f t="array" ref="U182">IFERROR(INDEX(DFD!$D$2:$D$1048791,MATCH($Q182,DFD!$B$2:$B$1048791,0)),"")</f>
        <v/>
      </c>
      <c r="V182" s="94" t="str">
        <f t="array" ref="V182">IFERROR(INDEX(DFD!$F$2:$F$1048791,MATCH($Q182,DFD!$B$2:$B$1048791,0)),"")</f>
        <v/>
      </c>
      <c r="W182" s="97" t="str">
        <f t="array" ref="W182">IFERROR(INDEX(DFD!$E$2:$E$1048791,MATCH($Q182,DFD!$B$2:$B$1048791,0)),"")</f>
        <v/>
      </c>
      <c r="X182" s="97" t="str">
        <f t="array" ref="X182">IFERROR(INDEX(DFD!$K$2:$K$1048791,MATCH($Q182,DFD!$B$2:$B$1048791,0)),"")</f>
        <v/>
      </c>
      <c r="Y182" s="97" t="str">
        <f t="array" ref="Y182">IFERROR(INDEX(DFD!$L$2:$L$1048790,MATCH($Q182,DFD!$B$2:$B$1048790,0)),"")</f>
        <v/>
      </c>
      <c r="Z182" s="97">
        <f t="shared" si="4"/>
        <v>45</v>
      </c>
      <c r="AA182" s="87"/>
      <c r="AB182" s="87" t="s">
        <v>72</v>
      </c>
      <c r="AC182" s="87"/>
      <c r="AD182" s="99">
        <v>46043.0</v>
      </c>
      <c r="AE182" s="119">
        <f t="shared" si="5"/>
        <v>1</v>
      </c>
    </row>
    <row r="183" ht="51.75" customHeight="1">
      <c r="A183" s="67"/>
      <c r="B183" s="67" t="s">
        <v>64</v>
      </c>
      <c r="C183" s="81" t="s">
        <v>768</v>
      </c>
      <c r="D183" s="81" t="s">
        <v>51</v>
      </c>
      <c r="E183" s="81">
        <v>2.0</v>
      </c>
      <c r="F183" s="113">
        <v>3600.0</v>
      </c>
      <c r="G183" s="73" t="s">
        <v>53</v>
      </c>
      <c r="H183" s="83">
        <v>46174.0</v>
      </c>
      <c r="I183" s="67" t="s">
        <v>18</v>
      </c>
      <c r="J183" s="67" t="s">
        <v>54</v>
      </c>
      <c r="K183" s="67" t="s">
        <v>83</v>
      </c>
      <c r="L183" s="67" t="s">
        <v>56</v>
      </c>
      <c r="M183" s="67" t="s">
        <v>84</v>
      </c>
      <c r="N183" s="67" t="s">
        <v>20</v>
      </c>
      <c r="O183" s="59" t="s">
        <v>59</v>
      </c>
      <c r="P183" s="59"/>
      <c r="Q183" s="59" t="s">
        <v>735</v>
      </c>
      <c r="R183" s="67" t="s">
        <v>302</v>
      </c>
      <c r="S183" s="59"/>
      <c r="T183" s="59"/>
      <c r="U183" s="77" t="str">
        <f t="array" ref="U183">IFERROR(INDEX(DFD!$D$2:$D$1048791,MATCH($Q183,DFD!$B$2:$B$1048791,0)),"")</f>
        <v/>
      </c>
      <c r="V183" s="77" t="str">
        <f t="array" ref="V183">IFERROR(INDEX(DFD!$F$2:$F$1048791,MATCH($Q183,DFD!$B$2:$B$1048791,0)),"")</f>
        <v/>
      </c>
      <c r="W183" s="84" t="str">
        <f t="array" ref="W183">IFERROR(INDEX(DFD!$E$2:$E$1048791,MATCH($Q183,DFD!$B$2:$B$1048791,0)),"")</f>
        <v/>
      </c>
      <c r="X183" s="84" t="str">
        <f t="array" ref="X183">IFERROR(INDEX(DFD!$K$2:$K$1048791,MATCH($Q183,DFD!$B$2:$B$1048791,0)),"")</f>
        <v/>
      </c>
      <c r="Y183" s="84" t="str">
        <f t="array" ref="Y183">IFERROR(INDEX(DFD!$L$2:$L$1048790,MATCH($Q183,DFD!$B$2:$B$1048790,0)),"")</f>
        <v/>
      </c>
      <c r="Z183" s="84">
        <f t="shared" si="4"/>
        <v>45</v>
      </c>
      <c r="AA183" s="59"/>
      <c r="AB183" s="59" t="s">
        <v>72</v>
      </c>
      <c r="AC183" s="59"/>
      <c r="AD183" s="85">
        <v>46043.0</v>
      </c>
      <c r="AE183" s="114">
        <f t="shared" si="5"/>
        <v>1</v>
      </c>
    </row>
    <row r="184" ht="77.25" customHeight="1">
      <c r="A184" s="92"/>
      <c r="B184" s="92" t="s">
        <v>172</v>
      </c>
      <c r="C184" s="116" t="s">
        <v>768</v>
      </c>
      <c r="D184" s="116" t="s">
        <v>51</v>
      </c>
      <c r="E184" s="116">
        <v>1.0</v>
      </c>
      <c r="F184" s="117">
        <v>1800.0</v>
      </c>
      <c r="G184" s="90" t="s">
        <v>53</v>
      </c>
      <c r="H184" s="118">
        <v>46174.0</v>
      </c>
      <c r="I184" s="92" t="s">
        <v>18</v>
      </c>
      <c r="J184" s="92" t="s">
        <v>54</v>
      </c>
      <c r="K184" s="92" t="s">
        <v>83</v>
      </c>
      <c r="L184" s="92" t="s">
        <v>56</v>
      </c>
      <c r="M184" s="92" t="s">
        <v>84</v>
      </c>
      <c r="N184" s="92" t="s">
        <v>20</v>
      </c>
      <c r="O184" s="87" t="s">
        <v>59</v>
      </c>
      <c r="P184" s="87"/>
      <c r="Q184" s="87" t="s">
        <v>735</v>
      </c>
      <c r="R184" s="92" t="s">
        <v>302</v>
      </c>
      <c r="S184" s="87"/>
      <c r="T184" s="87"/>
      <c r="U184" s="94" t="str">
        <f t="array" ref="U184">IFERROR(INDEX(DFD!$D$2:$D$1048791,MATCH($Q184,DFD!$B$2:$B$1048791,0)),"")</f>
        <v/>
      </c>
      <c r="V184" s="94" t="str">
        <f t="array" ref="V184">IFERROR(INDEX(DFD!$F$2:$F$1048791,MATCH($Q184,DFD!$B$2:$B$1048791,0)),"")</f>
        <v/>
      </c>
      <c r="W184" s="97" t="str">
        <f t="array" ref="W184">IFERROR(INDEX(DFD!$E$2:$E$1048791,MATCH($Q184,DFD!$B$2:$B$1048791,0)),"")</f>
        <v/>
      </c>
      <c r="X184" s="97" t="str">
        <f t="array" ref="X184">IFERROR(INDEX(DFD!$K$2:$K$1048791,MATCH($Q184,DFD!$B$2:$B$1048791,0)),"")</f>
        <v/>
      </c>
      <c r="Y184" s="97" t="str">
        <f t="array" ref="Y184">IFERROR(INDEX(DFD!$L$2:$L$1048790,MATCH($Q184,DFD!$B$2:$B$1048790,0)),"")</f>
        <v/>
      </c>
      <c r="Z184" s="97">
        <f t="shared" si="4"/>
        <v>45</v>
      </c>
      <c r="AA184" s="87"/>
      <c r="AB184" s="87" t="s">
        <v>72</v>
      </c>
      <c r="AC184" s="87"/>
      <c r="AD184" s="99">
        <v>46043.0</v>
      </c>
      <c r="AE184" s="119">
        <f t="shared" si="5"/>
        <v>1</v>
      </c>
    </row>
    <row r="185" ht="77.25" customHeight="1">
      <c r="A185" s="67"/>
      <c r="B185" s="67" t="s">
        <v>107</v>
      </c>
      <c r="C185" s="81" t="s">
        <v>768</v>
      </c>
      <c r="D185" s="81" t="s">
        <v>51</v>
      </c>
      <c r="E185" s="81">
        <v>1.0</v>
      </c>
      <c r="F185" s="113">
        <v>1800.0</v>
      </c>
      <c r="G185" s="73" t="s">
        <v>53</v>
      </c>
      <c r="H185" s="83">
        <v>46174.0</v>
      </c>
      <c r="I185" s="67" t="s">
        <v>18</v>
      </c>
      <c r="J185" s="67" t="s">
        <v>54</v>
      </c>
      <c r="K185" s="67" t="s">
        <v>83</v>
      </c>
      <c r="L185" s="67" t="s">
        <v>56</v>
      </c>
      <c r="M185" s="67" t="s">
        <v>84</v>
      </c>
      <c r="N185" s="67" t="s">
        <v>20</v>
      </c>
      <c r="O185" s="59" t="s">
        <v>59</v>
      </c>
      <c r="P185" s="59"/>
      <c r="Q185" s="59" t="s">
        <v>735</v>
      </c>
      <c r="R185" s="67" t="s">
        <v>302</v>
      </c>
      <c r="S185" s="59"/>
      <c r="T185" s="59"/>
      <c r="U185" s="77" t="str">
        <f t="array" ref="U185">IFERROR(INDEX(DFD!$D$2:$D$1048791,MATCH($Q185,DFD!$B$2:$B$1048791,0)),"")</f>
        <v/>
      </c>
      <c r="V185" s="77" t="str">
        <f t="array" ref="V185">IFERROR(INDEX(DFD!$F$2:$F$1048791,MATCH($Q185,DFD!$B$2:$B$1048791,0)),"")</f>
        <v/>
      </c>
      <c r="W185" s="84" t="str">
        <f t="array" ref="W185">IFERROR(INDEX(DFD!$E$2:$E$1048791,MATCH($Q185,DFD!$B$2:$B$1048791,0)),"")</f>
        <v/>
      </c>
      <c r="X185" s="84" t="str">
        <f t="array" ref="X185">IFERROR(INDEX(DFD!$K$2:$K$1048791,MATCH($Q185,DFD!$B$2:$B$1048791,0)),"")</f>
        <v/>
      </c>
      <c r="Y185" s="84" t="str">
        <f t="array" ref="Y185">IFERROR(INDEX(DFD!$L$2:$L$1048790,MATCH($Q185,DFD!$B$2:$B$1048790,0)),"")</f>
        <v/>
      </c>
      <c r="Z185" s="84">
        <f t="shared" si="4"/>
        <v>45</v>
      </c>
      <c r="AA185" s="59"/>
      <c r="AB185" s="59" t="s">
        <v>72</v>
      </c>
      <c r="AC185" s="59"/>
      <c r="AD185" s="85">
        <v>46043.0</v>
      </c>
      <c r="AE185" s="114">
        <f t="shared" si="5"/>
        <v>1</v>
      </c>
    </row>
    <row r="186" ht="77.25" customHeight="1">
      <c r="A186" s="92"/>
      <c r="B186" s="92" t="s">
        <v>87</v>
      </c>
      <c r="C186" s="116" t="s">
        <v>768</v>
      </c>
      <c r="D186" s="116" t="s">
        <v>51</v>
      </c>
      <c r="E186" s="116">
        <v>1.0</v>
      </c>
      <c r="F186" s="117">
        <v>1800.0</v>
      </c>
      <c r="G186" s="90" t="s">
        <v>53</v>
      </c>
      <c r="H186" s="118">
        <v>46174.0</v>
      </c>
      <c r="I186" s="92" t="s">
        <v>18</v>
      </c>
      <c r="J186" s="92" t="s">
        <v>54</v>
      </c>
      <c r="K186" s="92" t="s">
        <v>83</v>
      </c>
      <c r="L186" s="92" t="s">
        <v>56</v>
      </c>
      <c r="M186" s="92" t="s">
        <v>84</v>
      </c>
      <c r="N186" s="92" t="s">
        <v>20</v>
      </c>
      <c r="O186" s="87" t="s">
        <v>59</v>
      </c>
      <c r="P186" s="87"/>
      <c r="Q186" s="87" t="s">
        <v>735</v>
      </c>
      <c r="R186" s="92" t="s">
        <v>302</v>
      </c>
      <c r="S186" s="87"/>
      <c r="T186" s="87"/>
      <c r="U186" s="94" t="str">
        <f t="array" ref="U186">IFERROR(INDEX(DFD!$D$2:$D$1048791,MATCH($Q186,DFD!$B$2:$B$1048791,0)),"")</f>
        <v/>
      </c>
      <c r="V186" s="94" t="str">
        <f t="array" ref="V186">IFERROR(INDEX(DFD!$F$2:$F$1048791,MATCH($Q186,DFD!$B$2:$B$1048791,0)),"")</f>
        <v/>
      </c>
      <c r="W186" s="97" t="str">
        <f t="array" ref="W186">IFERROR(INDEX(DFD!$E$2:$E$1048791,MATCH($Q186,DFD!$B$2:$B$1048791,0)),"")</f>
        <v/>
      </c>
      <c r="X186" s="97" t="str">
        <f t="array" ref="X186">IFERROR(INDEX(DFD!$K$2:$K$1048791,MATCH($Q186,DFD!$B$2:$B$1048791,0)),"")</f>
        <v/>
      </c>
      <c r="Y186" s="97" t="str">
        <f t="array" ref="Y186">IFERROR(INDEX(DFD!$L$2:$L$1048790,MATCH($Q186,DFD!$B$2:$B$1048790,0)),"")</f>
        <v/>
      </c>
      <c r="Z186" s="97">
        <f t="shared" si="4"/>
        <v>45</v>
      </c>
      <c r="AA186" s="87"/>
      <c r="AB186" s="87" t="s">
        <v>72</v>
      </c>
      <c r="AC186" s="87"/>
      <c r="AD186" s="99">
        <v>46043.0</v>
      </c>
      <c r="AE186" s="119">
        <f t="shared" si="5"/>
        <v>1</v>
      </c>
    </row>
    <row r="187" ht="15.75" customHeight="1">
      <c r="A187" s="67"/>
      <c r="B187" s="67" t="s">
        <v>94</v>
      </c>
      <c r="C187" s="81" t="s">
        <v>768</v>
      </c>
      <c r="D187" s="81" t="s">
        <v>51</v>
      </c>
      <c r="E187" s="81">
        <v>1.0</v>
      </c>
      <c r="F187" s="113">
        <v>1800.0</v>
      </c>
      <c r="G187" s="73" t="s">
        <v>53</v>
      </c>
      <c r="H187" s="83">
        <v>46174.0</v>
      </c>
      <c r="I187" s="67" t="s">
        <v>18</v>
      </c>
      <c r="J187" s="67" t="s">
        <v>54</v>
      </c>
      <c r="K187" s="67" t="s">
        <v>83</v>
      </c>
      <c r="L187" s="67" t="s">
        <v>56</v>
      </c>
      <c r="M187" s="67" t="s">
        <v>84</v>
      </c>
      <c r="N187" s="67" t="s">
        <v>20</v>
      </c>
      <c r="O187" s="59" t="s">
        <v>59</v>
      </c>
      <c r="P187" s="59"/>
      <c r="Q187" s="59" t="s">
        <v>735</v>
      </c>
      <c r="R187" s="67" t="s">
        <v>302</v>
      </c>
      <c r="S187" s="59"/>
      <c r="T187" s="59"/>
      <c r="U187" s="77" t="str">
        <f t="array" ref="U187">IFERROR(INDEX(DFD!$D$2:$D$1048791,MATCH($Q187,DFD!$B$2:$B$1048791,0)),"")</f>
        <v/>
      </c>
      <c r="V187" s="77" t="str">
        <f t="array" ref="V187">IFERROR(INDEX(DFD!$F$2:$F$1048791,MATCH($Q187,DFD!$B$2:$B$1048791,0)),"")</f>
        <v/>
      </c>
      <c r="W187" s="84" t="str">
        <f t="array" ref="W187">IFERROR(INDEX(DFD!$E$2:$E$1048791,MATCH($Q187,DFD!$B$2:$B$1048791,0)),"")</f>
        <v/>
      </c>
      <c r="X187" s="84" t="str">
        <f t="array" ref="X187">IFERROR(INDEX(DFD!$K$2:$K$1048791,MATCH($Q187,DFD!$B$2:$B$1048791,0)),"")</f>
        <v/>
      </c>
      <c r="Y187" s="84" t="str">
        <f t="array" ref="Y187">IFERROR(INDEX(DFD!$L$2:$L$1048790,MATCH($Q187,DFD!$B$2:$B$1048790,0)),"")</f>
        <v/>
      </c>
      <c r="Z187" s="84">
        <f t="shared" si="4"/>
        <v>45</v>
      </c>
      <c r="AA187" s="59"/>
      <c r="AB187" s="59" t="s">
        <v>72</v>
      </c>
      <c r="AC187" s="59"/>
      <c r="AD187" s="85">
        <v>46043.0</v>
      </c>
      <c r="AE187" s="114">
        <f t="shared" si="5"/>
        <v>1</v>
      </c>
    </row>
    <row r="188" ht="15.75" customHeight="1">
      <c r="A188" s="92"/>
      <c r="B188" s="92" t="s">
        <v>98</v>
      </c>
      <c r="C188" s="116" t="s">
        <v>768</v>
      </c>
      <c r="D188" s="116" t="s">
        <v>51</v>
      </c>
      <c r="E188" s="116">
        <v>1.0</v>
      </c>
      <c r="F188" s="117">
        <v>1800.0</v>
      </c>
      <c r="G188" s="90" t="s">
        <v>53</v>
      </c>
      <c r="H188" s="118">
        <v>46174.0</v>
      </c>
      <c r="I188" s="92" t="s">
        <v>18</v>
      </c>
      <c r="J188" s="92" t="s">
        <v>54</v>
      </c>
      <c r="K188" s="92" t="s">
        <v>83</v>
      </c>
      <c r="L188" s="92" t="s">
        <v>56</v>
      </c>
      <c r="M188" s="92" t="s">
        <v>84</v>
      </c>
      <c r="N188" s="92" t="s">
        <v>20</v>
      </c>
      <c r="O188" s="87" t="s">
        <v>59</v>
      </c>
      <c r="P188" s="87"/>
      <c r="Q188" s="87" t="s">
        <v>735</v>
      </c>
      <c r="R188" s="92" t="s">
        <v>302</v>
      </c>
      <c r="S188" s="87"/>
      <c r="T188" s="87"/>
      <c r="U188" s="94" t="str">
        <f t="array" ref="U188">IFERROR(INDEX(DFD!$D$2:$D$1048791,MATCH($Q188,DFD!$B$2:$B$1048791,0)),"")</f>
        <v/>
      </c>
      <c r="V188" s="94" t="str">
        <f t="array" ref="V188">IFERROR(INDEX(DFD!$F$2:$F$1048791,MATCH($Q188,DFD!$B$2:$B$1048791,0)),"")</f>
        <v/>
      </c>
      <c r="W188" s="97" t="str">
        <f t="array" ref="W188">IFERROR(INDEX(DFD!$E$2:$E$1048791,MATCH($Q188,DFD!$B$2:$B$1048791,0)),"")</f>
        <v/>
      </c>
      <c r="X188" s="97" t="str">
        <f t="array" ref="X188">IFERROR(INDEX(DFD!$K$2:$K$1048791,MATCH($Q188,DFD!$B$2:$B$1048791,0)),"")</f>
        <v/>
      </c>
      <c r="Y188" s="97" t="str">
        <f t="array" ref="Y188">IFERROR(INDEX(DFD!$L$2:$L$1048790,MATCH($Q188,DFD!$B$2:$B$1048790,0)),"")</f>
        <v/>
      </c>
      <c r="Z188" s="97">
        <f t="shared" si="4"/>
        <v>45</v>
      </c>
      <c r="AA188" s="87"/>
      <c r="AB188" s="87" t="s">
        <v>72</v>
      </c>
      <c r="AC188" s="87"/>
      <c r="AD188" s="99">
        <v>46043.0</v>
      </c>
      <c r="AE188" s="119">
        <f t="shared" si="5"/>
        <v>1</v>
      </c>
    </row>
    <row r="189" ht="15.75" customHeight="1">
      <c r="A189" s="67"/>
      <c r="B189" s="67" t="s">
        <v>80</v>
      </c>
      <c r="C189" s="81" t="s">
        <v>781</v>
      </c>
      <c r="D189" s="81" t="s">
        <v>51</v>
      </c>
      <c r="E189" s="81">
        <v>2.0</v>
      </c>
      <c r="F189" s="113">
        <v>4000.0</v>
      </c>
      <c r="G189" s="73" t="s">
        <v>53</v>
      </c>
      <c r="H189" s="83">
        <v>46204.0</v>
      </c>
      <c r="I189" s="67" t="s">
        <v>18</v>
      </c>
      <c r="J189" s="67" t="s">
        <v>54</v>
      </c>
      <c r="K189" s="67" t="s">
        <v>83</v>
      </c>
      <c r="L189" s="67" t="s">
        <v>56</v>
      </c>
      <c r="M189" s="67" t="s">
        <v>84</v>
      </c>
      <c r="N189" s="67" t="s">
        <v>20</v>
      </c>
      <c r="O189" s="59" t="s">
        <v>59</v>
      </c>
      <c r="P189" s="59"/>
      <c r="Q189" s="59" t="s">
        <v>735</v>
      </c>
      <c r="R189" s="67" t="s">
        <v>302</v>
      </c>
      <c r="S189" s="59"/>
      <c r="T189" s="59"/>
      <c r="U189" s="77" t="str">
        <f t="array" ref="U189">IFERROR(INDEX(DFD!$D$2:$D$1048791,MATCH($Q189,DFD!$B$2:$B$1048791,0)),"")</f>
        <v/>
      </c>
      <c r="V189" s="77" t="str">
        <f t="array" ref="V189">IFERROR(INDEX(DFD!$F$2:$F$1048791,MATCH($Q189,DFD!$B$2:$B$1048791,0)),"")</f>
        <v/>
      </c>
      <c r="W189" s="84" t="str">
        <f t="array" ref="W189">IFERROR(INDEX(DFD!$E$2:$E$1048791,MATCH($Q189,DFD!$B$2:$B$1048791,0)),"")</f>
        <v/>
      </c>
      <c r="X189" s="84" t="str">
        <f t="array" ref="X189">IFERROR(INDEX(DFD!$K$2:$K$1048791,MATCH($Q189,DFD!$B$2:$B$1048791,0)),"")</f>
        <v/>
      </c>
      <c r="Y189" s="84" t="str">
        <f t="array" ref="Y189">IFERROR(INDEX(DFD!$L$2:$L$1048790,MATCH($Q189,DFD!$B$2:$B$1048790,0)),"")</f>
        <v/>
      </c>
      <c r="Z189" s="84">
        <f t="shared" si="4"/>
        <v>45</v>
      </c>
      <c r="AA189" s="59"/>
      <c r="AB189" s="59" t="s">
        <v>72</v>
      </c>
      <c r="AC189" s="59"/>
      <c r="AD189" s="85">
        <v>46043.0</v>
      </c>
      <c r="AE189" s="114">
        <f t="shared" si="5"/>
        <v>1</v>
      </c>
    </row>
    <row r="190" ht="15.75" customHeight="1">
      <c r="A190" s="92"/>
      <c r="B190" s="92" t="s">
        <v>92</v>
      </c>
      <c r="C190" s="116" t="s">
        <v>781</v>
      </c>
      <c r="D190" s="116" t="s">
        <v>51</v>
      </c>
      <c r="E190" s="116">
        <v>1.0</v>
      </c>
      <c r="F190" s="117">
        <v>2000.0</v>
      </c>
      <c r="G190" s="90" t="s">
        <v>53</v>
      </c>
      <c r="H190" s="118">
        <v>46174.0</v>
      </c>
      <c r="I190" s="92" t="s">
        <v>18</v>
      </c>
      <c r="J190" s="92" t="s">
        <v>54</v>
      </c>
      <c r="K190" s="92" t="s">
        <v>83</v>
      </c>
      <c r="L190" s="92" t="s">
        <v>56</v>
      </c>
      <c r="M190" s="92" t="s">
        <v>84</v>
      </c>
      <c r="N190" s="92" t="s">
        <v>20</v>
      </c>
      <c r="O190" s="87" t="s">
        <v>59</v>
      </c>
      <c r="P190" s="87"/>
      <c r="Q190" s="87" t="s">
        <v>735</v>
      </c>
      <c r="R190" s="92" t="s">
        <v>302</v>
      </c>
      <c r="S190" s="87"/>
      <c r="T190" s="87"/>
      <c r="U190" s="94" t="str">
        <f t="array" ref="U190">IFERROR(INDEX(DFD!$D$2:$D$1048791,MATCH($Q190,DFD!$B$2:$B$1048791,0)),"")</f>
        <v/>
      </c>
      <c r="V190" s="94" t="str">
        <f t="array" ref="V190">IFERROR(INDEX(DFD!$F$2:$F$1048791,MATCH($Q190,DFD!$B$2:$B$1048791,0)),"")</f>
        <v/>
      </c>
      <c r="W190" s="97" t="str">
        <f t="array" ref="W190">IFERROR(INDEX(DFD!$E$2:$E$1048791,MATCH($Q190,DFD!$B$2:$B$1048791,0)),"")</f>
        <v/>
      </c>
      <c r="X190" s="97" t="str">
        <f t="array" ref="X190">IFERROR(INDEX(DFD!$K$2:$K$1048791,MATCH($Q190,DFD!$B$2:$B$1048791,0)),"")</f>
        <v/>
      </c>
      <c r="Y190" s="97" t="str">
        <f t="array" ref="Y190">IFERROR(INDEX(DFD!$L$2:$L$1048790,MATCH($Q190,DFD!$B$2:$B$1048790,0)),"")</f>
        <v/>
      </c>
      <c r="Z190" s="97">
        <f t="shared" si="4"/>
        <v>45</v>
      </c>
      <c r="AA190" s="87"/>
      <c r="AB190" s="87" t="s">
        <v>72</v>
      </c>
      <c r="AC190" s="87"/>
      <c r="AD190" s="99">
        <v>46043.0</v>
      </c>
      <c r="AE190" s="119">
        <f t="shared" si="5"/>
        <v>1</v>
      </c>
    </row>
    <row r="191" ht="15.75" customHeight="1">
      <c r="A191" s="67"/>
      <c r="B191" s="67" t="s">
        <v>386</v>
      </c>
      <c r="C191" s="81" t="s">
        <v>785</v>
      </c>
      <c r="D191" s="81" t="s">
        <v>51</v>
      </c>
      <c r="E191" s="81">
        <v>1.0</v>
      </c>
      <c r="F191" s="113">
        <v>2000.0</v>
      </c>
      <c r="G191" s="73" t="s">
        <v>53</v>
      </c>
      <c r="H191" s="83">
        <v>46174.0</v>
      </c>
      <c r="I191" s="67" t="s">
        <v>18</v>
      </c>
      <c r="J191" s="67" t="s">
        <v>54</v>
      </c>
      <c r="K191" s="67" t="s">
        <v>83</v>
      </c>
      <c r="L191" s="67" t="s">
        <v>56</v>
      </c>
      <c r="M191" s="67" t="s">
        <v>84</v>
      </c>
      <c r="N191" s="67" t="s">
        <v>20</v>
      </c>
      <c r="O191" s="59" t="s">
        <v>59</v>
      </c>
      <c r="P191" s="59"/>
      <c r="Q191" s="59" t="s">
        <v>735</v>
      </c>
      <c r="R191" s="67" t="s">
        <v>302</v>
      </c>
      <c r="S191" s="59"/>
      <c r="T191" s="59"/>
      <c r="U191" s="77" t="str">
        <f t="array" ref="U191">IFERROR(INDEX(DFD!$D$2:$D$1048791,MATCH($Q191,DFD!$B$2:$B$1048791,0)),"")</f>
        <v/>
      </c>
      <c r="V191" s="77" t="str">
        <f t="array" ref="V191">IFERROR(INDEX(DFD!$F$2:$F$1048791,MATCH($Q191,DFD!$B$2:$B$1048791,0)),"")</f>
        <v/>
      </c>
      <c r="W191" s="84" t="str">
        <f t="array" ref="W191">IFERROR(INDEX(DFD!$E$2:$E$1048791,MATCH($Q191,DFD!$B$2:$B$1048791,0)),"")</f>
        <v/>
      </c>
      <c r="X191" s="84" t="str">
        <f t="array" ref="X191">IFERROR(INDEX(DFD!$K$2:$K$1048791,MATCH($Q191,DFD!$B$2:$B$1048791,0)),"")</f>
        <v/>
      </c>
      <c r="Y191" s="84" t="str">
        <f t="array" ref="Y191">IFERROR(INDEX(DFD!$L$2:$L$1048790,MATCH($Q191,DFD!$B$2:$B$1048790,0)),"")</f>
        <v/>
      </c>
      <c r="Z191" s="84">
        <f t="shared" si="4"/>
        <v>45</v>
      </c>
      <c r="AA191" s="59"/>
      <c r="AB191" s="59" t="s">
        <v>72</v>
      </c>
      <c r="AC191" s="59"/>
      <c r="AD191" s="85">
        <v>46043.0</v>
      </c>
      <c r="AE191" s="114">
        <f t="shared" si="5"/>
        <v>1</v>
      </c>
    </row>
    <row r="192" ht="15.75" customHeight="1">
      <c r="A192" s="92"/>
      <c r="B192" s="92" t="s">
        <v>172</v>
      </c>
      <c r="C192" s="116" t="s">
        <v>787</v>
      </c>
      <c r="D192" s="116" t="s">
        <v>51</v>
      </c>
      <c r="E192" s="116">
        <v>1.0</v>
      </c>
      <c r="F192" s="117">
        <v>2000.0</v>
      </c>
      <c r="G192" s="90" t="s">
        <v>53</v>
      </c>
      <c r="H192" s="118">
        <v>46174.0</v>
      </c>
      <c r="I192" s="92" t="s">
        <v>18</v>
      </c>
      <c r="J192" s="92" t="s">
        <v>54</v>
      </c>
      <c r="K192" s="92" t="s">
        <v>83</v>
      </c>
      <c r="L192" s="92" t="s">
        <v>56</v>
      </c>
      <c r="M192" s="92" t="s">
        <v>84</v>
      </c>
      <c r="N192" s="92" t="s">
        <v>20</v>
      </c>
      <c r="O192" s="87" t="s">
        <v>59</v>
      </c>
      <c r="P192" s="87"/>
      <c r="Q192" s="87" t="s">
        <v>735</v>
      </c>
      <c r="R192" s="92" t="s">
        <v>302</v>
      </c>
      <c r="S192" s="87"/>
      <c r="T192" s="87"/>
      <c r="U192" s="94" t="str">
        <f t="array" ref="U192">IFERROR(INDEX(DFD!$D$2:$D$1048791,MATCH($Q192,DFD!$B$2:$B$1048791,0)),"")</f>
        <v/>
      </c>
      <c r="V192" s="94" t="str">
        <f t="array" ref="V192">IFERROR(INDEX(DFD!$F$2:$F$1048791,MATCH($Q192,DFD!$B$2:$B$1048791,0)),"")</f>
        <v/>
      </c>
      <c r="W192" s="97" t="str">
        <f t="array" ref="W192">IFERROR(INDEX(DFD!$E$2:$E$1048791,MATCH($Q192,DFD!$B$2:$B$1048791,0)),"")</f>
        <v/>
      </c>
      <c r="X192" s="97" t="str">
        <f t="array" ref="X192">IFERROR(INDEX(DFD!$K$2:$K$1048791,MATCH($Q192,DFD!$B$2:$B$1048791,0)),"")</f>
        <v/>
      </c>
      <c r="Y192" s="97" t="str">
        <f t="array" ref="Y192">IFERROR(INDEX(DFD!$L$2:$L$1048790,MATCH($Q192,DFD!$B$2:$B$1048790,0)),"")</f>
        <v/>
      </c>
      <c r="Z192" s="97">
        <f t="shared" si="4"/>
        <v>45</v>
      </c>
      <c r="AA192" s="87"/>
      <c r="AB192" s="87" t="s">
        <v>72</v>
      </c>
      <c r="AC192" s="87"/>
      <c r="AD192" s="99">
        <v>46043.0</v>
      </c>
      <c r="AE192" s="119">
        <f t="shared" si="5"/>
        <v>1</v>
      </c>
    </row>
    <row r="193" ht="15.75" customHeight="1">
      <c r="A193" s="67"/>
      <c r="B193" s="67" t="s">
        <v>174</v>
      </c>
      <c r="C193" s="81" t="s">
        <v>789</v>
      </c>
      <c r="D193" s="81" t="s">
        <v>51</v>
      </c>
      <c r="E193" s="81">
        <v>1.0</v>
      </c>
      <c r="F193" s="113">
        <v>500.0</v>
      </c>
      <c r="G193" s="73" t="s">
        <v>53</v>
      </c>
      <c r="H193" s="83">
        <v>46174.0</v>
      </c>
      <c r="I193" s="67" t="s">
        <v>18</v>
      </c>
      <c r="J193" s="67" t="s">
        <v>54</v>
      </c>
      <c r="K193" s="67" t="s">
        <v>83</v>
      </c>
      <c r="L193" s="67" t="s">
        <v>56</v>
      </c>
      <c r="M193" s="67" t="s">
        <v>84</v>
      </c>
      <c r="N193" s="67" t="s">
        <v>20</v>
      </c>
      <c r="O193" s="59" t="s">
        <v>59</v>
      </c>
      <c r="P193" s="59"/>
      <c r="Q193" s="59" t="s">
        <v>735</v>
      </c>
      <c r="R193" s="67" t="s">
        <v>302</v>
      </c>
      <c r="S193" s="59"/>
      <c r="T193" s="59"/>
      <c r="U193" s="77" t="str">
        <f t="array" ref="U193">IFERROR(INDEX(DFD!$D$2:$D$1048791,MATCH($Q193,DFD!$B$2:$B$1048791,0)),"")</f>
        <v/>
      </c>
      <c r="V193" s="77" t="str">
        <f t="array" ref="V193">IFERROR(INDEX(DFD!$F$2:$F$1048791,MATCH($Q193,DFD!$B$2:$B$1048791,0)),"")</f>
        <v/>
      </c>
      <c r="W193" s="84" t="str">
        <f t="array" ref="W193">IFERROR(INDEX(DFD!$E$2:$E$1048791,MATCH($Q193,DFD!$B$2:$B$1048791,0)),"")</f>
        <v/>
      </c>
      <c r="X193" s="84" t="str">
        <f t="array" ref="X193">IFERROR(INDEX(DFD!$K$2:$K$1048791,MATCH($Q193,DFD!$B$2:$B$1048791,0)),"")</f>
        <v/>
      </c>
      <c r="Y193" s="84" t="str">
        <f t="array" ref="Y193">IFERROR(INDEX(DFD!$L$2:$L$1048790,MATCH($Q193,DFD!$B$2:$B$1048790,0)),"")</f>
        <v/>
      </c>
      <c r="Z193" s="84">
        <f t="shared" si="4"/>
        <v>45</v>
      </c>
      <c r="AA193" s="59"/>
      <c r="AB193" s="59" t="s">
        <v>72</v>
      </c>
      <c r="AC193" s="59"/>
      <c r="AD193" s="85">
        <v>46043.0</v>
      </c>
      <c r="AE193" s="114">
        <f t="shared" si="5"/>
        <v>1</v>
      </c>
    </row>
    <row r="194" ht="15.75" customHeight="1">
      <c r="A194" s="87"/>
      <c r="B194" s="87" t="s">
        <v>107</v>
      </c>
      <c r="C194" s="88" t="s">
        <v>791</v>
      </c>
      <c r="D194" s="88" t="s">
        <v>51</v>
      </c>
      <c r="E194" s="88">
        <v>1.0</v>
      </c>
      <c r="F194" s="139">
        <v>1200.0</v>
      </c>
      <c r="G194" s="90" t="s">
        <v>53</v>
      </c>
      <c r="H194" s="91">
        <v>46174.0</v>
      </c>
      <c r="I194" s="92" t="s">
        <v>18</v>
      </c>
      <c r="J194" s="92" t="s">
        <v>54</v>
      </c>
      <c r="K194" s="92" t="s">
        <v>83</v>
      </c>
      <c r="L194" s="92" t="s">
        <v>67</v>
      </c>
      <c r="M194" s="92" t="s">
        <v>132</v>
      </c>
      <c r="N194" s="87" t="s">
        <v>20</v>
      </c>
      <c r="O194" s="87" t="s">
        <v>59</v>
      </c>
      <c r="P194" s="87"/>
      <c r="Q194" s="87" t="s">
        <v>735</v>
      </c>
      <c r="R194" s="92" t="s">
        <v>736</v>
      </c>
      <c r="S194" s="87"/>
      <c r="T194" s="87"/>
      <c r="U194" s="94" t="str">
        <f t="array" ref="U194">IFERROR(INDEX(DFD!$D$2:$D$1048791,MATCH($Q194,DFD!$B$2:$B$1048791,0)),"")</f>
        <v/>
      </c>
      <c r="V194" s="94" t="str">
        <f t="array" ref="V194">IFERROR(INDEX(DFD!$F$2:$F$1048791,MATCH($Q194,DFD!$B$2:$B$1048791,0)),"")</f>
        <v/>
      </c>
      <c r="W194" s="97" t="str">
        <f t="array" ref="W194">IFERROR(INDEX(DFD!$E$2:$E$1048791,MATCH($Q194,DFD!$B$2:$B$1048791,0)),"")</f>
        <v/>
      </c>
      <c r="X194" s="97" t="str">
        <f t="array" ref="X194">IFERROR(INDEX(DFD!$K$2:$K$1048791,MATCH($Q194,DFD!$B$2:$B$1048791,0)),"")</f>
        <v/>
      </c>
      <c r="Y194" s="97" t="str">
        <f t="array" ref="Y194">IFERROR(INDEX(DFD!$L$2:$L$1048790,MATCH($Q194,DFD!$B$2:$B$1048790,0)),"")</f>
        <v/>
      </c>
      <c r="Z194" s="97">
        <f t="shared" si="4"/>
        <v>45</v>
      </c>
      <c r="AA194" s="87"/>
      <c r="AB194" s="87" t="s">
        <v>72</v>
      </c>
      <c r="AC194" s="87"/>
      <c r="AD194" s="99">
        <v>46043.0</v>
      </c>
      <c r="AE194" s="119">
        <f t="shared" si="5"/>
        <v>1</v>
      </c>
    </row>
    <row r="195" ht="15.75" customHeight="1">
      <c r="A195" s="67"/>
      <c r="B195" s="67" t="s">
        <v>172</v>
      </c>
      <c r="C195" s="81" t="s">
        <v>795</v>
      </c>
      <c r="D195" s="81" t="s">
        <v>51</v>
      </c>
      <c r="E195" s="81">
        <v>1.0</v>
      </c>
      <c r="F195" s="113">
        <v>17000.0</v>
      </c>
      <c r="G195" s="73" t="s">
        <v>53</v>
      </c>
      <c r="H195" s="83">
        <v>46235.0</v>
      </c>
      <c r="I195" s="67" t="s">
        <v>18</v>
      </c>
      <c r="J195" s="67" t="s">
        <v>54</v>
      </c>
      <c r="K195" s="67" t="s">
        <v>83</v>
      </c>
      <c r="L195" s="67" t="s">
        <v>67</v>
      </c>
      <c r="M195" s="67" t="s">
        <v>84</v>
      </c>
      <c r="N195" s="67" t="s">
        <v>20</v>
      </c>
      <c r="O195" s="59" t="s">
        <v>59</v>
      </c>
      <c r="P195" s="59"/>
      <c r="Q195" s="59" t="s">
        <v>796</v>
      </c>
      <c r="R195" s="67" t="s">
        <v>725</v>
      </c>
      <c r="S195" s="59"/>
      <c r="T195" s="59"/>
      <c r="U195" s="77" t="str">
        <f t="array" ref="U195">IFERROR(INDEX(DFD!$D$2:$D$1048791,MATCH($Q195,DFD!$B$2:$B$1048791,0)),"")</f>
        <v/>
      </c>
      <c r="V195" s="77" t="str">
        <f t="array" ref="V195">IFERROR(INDEX(DFD!$F$2:$F$1048791,MATCH($Q195,DFD!$B$2:$B$1048791,0)),"")</f>
        <v/>
      </c>
      <c r="W195" s="84" t="str">
        <f t="array" ref="W195">IFERROR(INDEX(DFD!$E$2:$E$1048791,MATCH($Q195,DFD!$B$2:$B$1048791,0)),"")</f>
        <v/>
      </c>
      <c r="X195" s="84" t="str">
        <f t="array" ref="X195">IFERROR(INDEX(DFD!$K$2:$K$1048791,MATCH($Q195,DFD!$B$2:$B$1048791,0)),"")</f>
        <v/>
      </c>
      <c r="Y195" s="84" t="str">
        <f t="array" ref="Y195">IFERROR(INDEX(DFD!$L$2:$L$1048790,MATCH($Q195,DFD!$B$2:$B$1048790,0)),"")</f>
        <v/>
      </c>
      <c r="Z195" s="84">
        <f t="shared" si="4"/>
        <v>45</v>
      </c>
      <c r="AA195" s="59"/>
      <c r="AB195" s="59" t="s">
        <v>72</v>
      </c>
      <c r="AC195" s="59"/>
      <c r="AD195" s="85">
        <v>46043.0</v>
      </c>
      <c r="AE195" s="114">
        <f t="shared" si="5"/>
        <v>1</v>
      </c>
    </row>
    <row r="196" ht="15.75" customHeight="1">
      <c r="A196" s="87"/>
      <c r="B196" s="87" t="s">
        <v>91</v>
      </c>
      <c r="C196" s="88" t="s">
        <v>799</v>
      </c>
      <c r="D196" s="88" t="s">
        <v>51</v>
      </c>
      <c r="E196" s="88">
        <v>1.0</v>
      </c>
      <c r="F196" s="139">
        <v>1000.0</v>
      </c>
      <c r="G196" s="90" t="s">
        <v>53</v>
      </c>
      <c r="H196" s="91">
        <v>46174.0</v>
      </c>
      <c r="I196" s="92" t="s">
        <v>18</v>
      </c>
      <c r="J196" s="92" t="s">
        <v>54</v>
      </c>
      <c r="K196" s="92" t="s">
        <v>83</v>
      </c>
      <c r="L196" s="92" t="s">
        <v>56</v>
      </c>
      <c r="M196" s="92" t="s">
        <v>515</v>
      </c>
      <c r="N196" s="87" t="s">
        <v>20</v>
      </c>
      <c r="O196" s="87" t="s">
        <v>59</v>
      </c>
      <c r="P196" s="87"/>
      <c r="Q196" s="87" t="s">
        <v>801</v>
      </c>
      <c r="R196" s="92" t="s">
        <v>302</v>
      </c>
      <c r="S196" s="87"/>
      <c r="T196" s="87"/>
      <c r="U196" s="94" t="str">
        <f t="array" ref="U196">IFERROR(INDEX(DFD!$D$2:$D$1048791,MATCH($Q196,DFD!$B$2:$B$1048791,0)),"")</f>
        <v/>
      </c>
      <c r="V196" s="94" t="str">
        <f t="array" ref="V196">IFERROR(INDEX(DFD!$F$2:$F$1048791,MATCH($Q196,DFD!$B$2:$B$1048791,0)),"")</f>
        <v/>
      </c>
      <c r="W196" s="97" t="str">
        <f t="array" ref="W196">IFERROR(INDEX(DFD!$E$2:$E$1048791,MATCH($Q196,DFD!$B$2:$B$1048791,0)),"")</f>
        <v/>
      </c>
      <c r="X196" s="97" t="str">
        <f t="array" ref="X196">IFERROR(INDEX(DFD!$K$2:$K$1048791,MATCH($Q196,DFD!$B$2:$B$1048791,0)),"")</f>
        <v/>
      </c>
      <c r="Y196" s="97" t="str">
        <f t="array" ref="Y196">IFERROR(INDEX(DFD!$L$2:$L$1048790,MATCH($Q196,DFD!$B$2:$B$1048790,0)),"")</f>
        <v/>
      </c>
      <c r="Z196" s="97">
        <f t="shared" si="4"/>
        <v>45</v>
      </c>
      <c r="AA196" s="87"/>
      <c r="AB196" s="87" t="s">
        <v>72</v>
      </c>
      <c r="AC196" s="87"/>
      <c r="AD196" s="99">
        <v>46043.0</v>
      </c>
      <c r="AE196" s="119">
        <f t="shared" si="5"/>
        <v>1</v>
      </c>
    </row>
    <row r="197" ht="15.75" customHeight="1">
      <c r="A197" s="67"/>
      <c r="B197" s="67" t="s">
        <v>172</v>
      </c>
      <c r="C197" s="81" t="s">
        <v>799</v>
      </c>
      <c r="D197" s="81" t="s">
        <v>51</v>
      </c>
      <c r="E197" s="81">
        <v>1.0</v>
      </c>
      <c r="F197" s="113">
        <v>1000.0</v>
      </c>
      <c r="G197" s="73" t="s">
        <v>53</v>
      </c>
      <c r="H197" s="83">
        <v>46174.0</v>
      </c>
      <c r="I197" s="67" t="s">
        <v>18</v>
      </c>
      <c r="J197" s="67" t="s">
        <v>54</v>
      </c>
      <c r="K197" s="67" t="s">
        <v>83</v>
      </c>
      <c r="L197" s="67" t="s">
        <v>56</v>
      </c>
      <c r="M197" s="67" t="s">
        <v>84</v>
      </c>
      <c r="N197" s="67" t="s">
        <v>20</v>
      </c>
      <c r="O197" s="59" t="s">
        <v>59</v>
      </c>
      <c r="P197" s="59"/>
      <c r="Q197" s="59" t="s">
        <v>801</v>
      </c>
      <c r="R197" s="67" t="s">
        <v>302</v>
      </c>
      <c r="S197" s="59"/>
      <c r="T197" s="59"/>
      <c r="U197" s="77" t="str">
        <f t="array" ref="U197">IFERROR(INDEX(DFD!$D$2:$D$1048791,MATCH($Q197,DFD!$B$2:$B$1048791,0)),"")</f>
        <v/>
      </c>
      <c r="V197" s="77" t="str">
        <f t="array" ref="V197">IFERROR(INDEX(DFD!$F$2:$F$1048791,MATCH($Q197,DFD!$B$2:$B$1048791,0)),"")</f>
        <v/>
      </c>
      <c r="W197" s="84" t="str">
        <f t="array" ref="W197">IFERROR(INDEX(DFD!$E$2:$E$1048791,MATCH($Q197,DFD!$B$2:$B$1048791,0)),"")</f>
        <v/>
      </c>
      <c r="X197" s="84" t="str">
        <f t="array" ref="X197">IFERROR(INDEX(DFD!$K$2:$K$1048791,MATCH($Q197,DFD!$B$2:$B$1048791,0)),"")</f>
        <v/>
      </c>
      <c r="Y197" s="84" t="str">
        <f t="array" ref="Y197">IFERROR(INDEX(DFD!$L$2:$L$1048790,MATCH($Q197,DFD!$B$2:$B$1048790,0)),"")</f>
        <v/>
      </c>
      <c r="Z197" s="84">
        <f t="shared" si="4"/>
        <v>45</v>
      </c>
      <c r="AA197" s="59"/>
      <c r="AB197" s="59" t="s">
        <v>72</v>
      </c>
      <c r="AC197" s="59"/>
      <c r="AD197" s="85">
        <v>46043.0</v>
      </c>
      <c r="AE197" s="114">
        <f t="shared" si="5"/>
        <v>1</v>
      </c>
    </row>
    <row r="198" ht="15.75" customHeight="1">
      <c r="A198" s="92"/>
      <c r="B198" s="92" t="s">
        <v>80</v>
      </c>
      <c r="C198" s="116" t="s">
        <v>799</v>
      </c>
      <c r="D198" s="116" t="s">
        <v>51</v>
      </c>
      <c r="E198" s="116">
        <v>1.0</v>
      </c>
      <c r="F198" s="117">
        <v>1000.0</v>
      </c>
      <c r="G198" s="90" t="s">
        <v>53</v>
      </c>
      <c r="H198" s="118">
        <v>46174.0</v>
      </c>
      <c r="I198" s="92" t="s">
        <v>18</v>
      </c>
      <c r="J198" s="92" t="s">
        <v>54</v>
      </c>
      <c r="K198" s="92" t="s">
        <v>83</v>
      </c>
      <c r="L198" s="92" t="s">
        <v>56</v>
      </c>
      <c r="M198" s="92" t="s">
        <v>84</v>
      </c>
      <c r="N198" s="92" t="s">
        <v>20</v>
      </c>
      <c r="O198" s="87" t="s">
        <v>59</v>
      </c>
      <c r="P198" s="87"/>
      <c r="Q198" s="87" t="s">
        <v>801</v>
      </c>
      <c r="R198" s="92" t="s">
        <v>302</v>
      </c>
      <c r="S198" s="87"/>
      <c r="T198" s="87"/>
      <c r="U198" s="94" t="str">
        <f t="array" ref="U198">IFERROR(INDEX(DFD!$D$2:$D$1048791,MATCH($Q198,DFD!$B$2:$B$1048791,0)),"")</f>
        <v/>
      </c>
      <c r="V198" s="94" t="str">
        <f t="array" ref="V198">IFERROR(INDEX(DFD!$F$2:$F$1048791,MATCH($Q198,DFD!$B$2:$B$1048791,0)),"")</f>
        <v/>
      </c>
      <c r="W198" s="97" t="str">
        <f t="array" ref="W198">IFERROR(INDEX(DFD!$E$2:$E$1048791,MATCH($Q198,DFD!$B$2:$B$1048791,0)),"")</f>
        <v/>
      </c>
      <c r="X198" s="97" t="str">
        <f t="array" ref="X198">IFERROR(INDEX(DFD!$K$2:$K$1048791,MATCH($Q198,DFD!$B$2:$B$1048791,0)),"")</f>
        <v/>
      </c>
      <c r="Y198" s="97" t="str">
        <f t="array" ref="Y198">IFERROR(INDEX(DFD!$L$2:$L$1048790,MATCH($Q198,DFD!$B$2:$B$1048790,0)),"")</f>
        <v/>
      </c>
      <c r="Z198" s="97">
        <f t="shared" si="4"/>
        <v>45</v>
      </c>
      <c r="AA198" s="87"/>
      <c r="AB198" s="87" t="s">
        <v>72</v>
      </c>
      <c r="AC198" s="87"/>
      <c r="AD198" s="99">
        <v>46043.0</v>
      </c>
      <c r="AE198" s="119">
        <f t="shared" si="5"/>
        <v>1</v>
      </c>
    </row>
    <row r="199" ht="15.75" customHeight="1">
      <c r="A199" s="67"/>
      <c r="B199" s="67" t="s">
        <v>94</v>
      </c>
      <c r="C199" s="81" t="s">
        <v>799</v>
      </c>
      <c r="D199" s="81" t="s">
        <v>51</v>
      </c>
      <c r="E199" s="81">
        <v>1.0</v>
      </c>
      <c r="F199" s="113">
        <v>1000.0</v>
      </c>
      <c r="G199" s="73" t="s">
        <v>53</v>
      </c>
      <c r="H199" s="83">
        <v>46174.0</v>
      </c>
      <c r="I199" s="67" t="s">
        <v>18</v>
      </c>
      <c r="J199" s="67" t="s">
        <v>54</v>
      </c>
      <c r="K199" s="67" t="s">
        <v>83</v>
      </c>
      <c r="L199" s="67" t="s">
        <v>56</v>
      </c>
      <c r="M199" s="67" t="s">
        <v>84</v>
      </c>
      <c r="N199" s="67" t="s">
        <v>20</v>
      </c>
      <c r="O199" s="59" t="s">
        <v>59</v>
      </c>
      <c r="P199" s="59"/>
      <c r="Q199" s="59" t="s">
        <v>801</v>
      </c>
      <c r="R199" s="67" t="s">
        <v>302</v>
      </c>
      <c r="S199" s="59"/>
      <c r="T199" s="59"/>
      <c r="U199" s="77" t="str">
        <f t="array" ref="U199">IFERROR(INDEX(DFD!$D$2:$D$1048791,MATCH($Q199,DFD!$B$2:$B$1048791,0)),"")</f>
        <v/>
      </c>
      <c r="V199" s="77" t="str">
        <f t="array" ref="V199">IFERROR(INDEX(DFD!$F$2:$F$1048791,MATCH($Q199,DFD!$B$2:$B$1048791,0)),"")</f>
        <v/>
      </c>
      <c r="W199" s="84" t="str">
        <f t="array" ref="W199">IFERROR(INDEX(DFD!$E$2:$E$1048791,MATCH($Q199,DFD!$B$2:$B$1048791,0)),"")</f>
        <v/>
      </c>
      <c r="X199" s="84" t="str">
        <f t="array" ref="X199">IFERROR(INDEX(DFD!$K$2:$K$1048791,MATCH($Q199,DFD!$B$2:$B$1048791,0)),"")</f>
        <v/>
      </c>
      <c r="Y199" s="84" t="str">
        <f t="array" ref="Y199">IFERROR(INDEX(DFD!$L$2:$L$1048790,MATCH($Q199,DFD!$B$2:$B$1048790,0)),"")</f>
        <v/>
      </c>
      <c r="Z199" s="84">
        <f t="shared" si="4"/>
        <v>45</v>
      </c>
      <c r="AA199" s="59"/>
      <c r="AB199" s="59" t="s">
        <v>72</v>
      </c>
      <c r="AC199" s="59"/>
      <c r="AD199" s="85">
        <v>46043.0</v>
      </c>
      <c r="AE199" s="114">
        <f t="shared" si="5"/>
        <v>1</v>
      </c>
    </row>
    <row r="200" ht="15.75" customHeight="1">
      <c r="A200" s="92"/>
      <c r="B200" s="92" t="s">
        <v>123</v>
      </c>
      <c r="C200" s="116" t="s">
        <v>809</v>
      </c>
      <c r="D200" s="116" t="s">
        <v>51</v>
      </c>
      <c r="E200" s="116">
        <v>4.0</v>
      </c>
      <c r="F200" s="117">
        <v>2000.0</v>
      </c>
      <c r="G200" s="90" t="s">
        <v>53</v>
      </c>
      <c r="H200" s="118">
        <v>46174.0</v>
      </c>
      <c r="I200" s="92" t="s">
        <v>18</v>
      </c>
      <c r="J200" s="92" t="s">
        <v>54</v>
      </c>
      <c r="K200" s="92" t="s">
        <v>83</v>
      </c>
      <c r="L200" s="92" t="s">
        <v>197</v>
      </c>
      <c r="M200" s="92" t="s">
        <v>84</v>
      </c>
      <c r="N200" s="92" t="s">
        <v>20</v>
      </c>
      <c r="O200" s="87" t="s">
        <v>59</v>
      </c>
      <c r="P200" s="87"/>
      <c r="Q200" s="87" t="s">
        <v>810</v>
      </c>
      <c r="R200" s="92" t="s">
        <v>302</v>
      </c>
      <c r="S200" s="87"/>
      <c r="T200" s="87"/>
      <c r="U200" s="94" t="str">
        <f t="array" ref="U200">IFERROR(INDEX(DFD!$D$2:$D$1048791,MATCH($Q200,DFD!$B$2:$B$1048791,0)),"")</f>
        <v/>
      </c>
      <c r="V200" s="94" t="str">
        <f t="array" ref="V200">IFERROR(INDEX(DFD!$F$2:$F$1048791,MATCH($Q200,DFD!$B$2:$B$1048791,0)),"")</f>
        <v/>
      </c>
      <c r="W200" s="97" t="str">
        <f t="array" ref="W200">IFERROR(INDEX(DFD!$E$2:$E$1048791,MATCH($Q200,DFD!$B$2:$B$1048791,0)),"")</f>
        <v/>
      </c>
      <c r="X200" s="97" t="str">
        <f t="array" ref="X200">IFERROR(INDEX(DFD!$K$2:$K$1048791,MATCH($Q200,DFD!$B$2:$B$1048791,0)),"")</f>
        <v/>
      </c>
      <c r="Y200" s="97" t="str">
        <f t="array" ref="Y200">IFERROR(INDEX(DFD!$L$2:$L$1048790,MATCH($Q200,DFD!$B$2:$B$1048790,0)),"")</f>
        <v/>
      </c>
      <c r="Z200" s="97">
        <f t="shared" si="4"/>
        <v>45</v>
      </c>
      <c r="AA200" s="87"/>
      <c r="AB200" s="87" t="s">
        <v>72</v>
      </c>
      <c r="AC200" s="87"/>
      <c r="AD200" s="99">
        <v>46043.0</v>
      </c>
      <c r="AE200" s="119">
        <f t="shared" si="5"/>
        <v>1</v>
      </c>
    </row>
    <row r="201" ht="15.75" customHeight="1">
      <c r="A201" s="67"/>
      <c r="B201" s="67" t="s">
        <v>172</v>
      </c>
      <c r="C201" s="81" t="s">
        <v>809</v>
      </c>
      <c r="D201" s="81" t="s">
        <v>51</v>
      </c>
      <c r="E201" s="81">
        <v>2.0</v>
      </c>
      <c r="F201" s="113">
        <v>1000.0</v>
      </c>
      <c r="G201" s="73" t="s">
        <v>53</v>
      </c>
      <c r="H201" s="83">
        <v>46174.0</v>
      </c>
      <c r="I201" s="67" t="s">
        <v>18</v>
      </c>
      <c r="J201" s="67" t="s">
        <v>54</v>
      </c>
      <c r="K201" s="67" t="s">
        <v>83</v>
      </c>
      <c r="L201" s="67" t="s">
        <v>197</v>
      </c>
      <c r="M201" s="67" t="s">
        <v>84</v>
      </c>
      <c r="N201" s="67" t="s">
        <v>20</v>
      </c>
      <c r="O201" s="59" t="s">
        <v>59</v>
      </c>
      <c r="P201" s="59"/>
      <c r="Q201" s="59" t="s">
        <v>810</v>
      </c>
      <c r="R201" s="67" t="s">
        <v>302</v>
      </c>
      <c r="S201" s="59"/>
      <c r="T201" s="59"/>
      <c r="U201" s="77" t="str">
        <f t="array" ref="U201">IFERROR(INDEX(DFD!$D$2:$D$1048791,MATCH($Q201,DFD!$B$2:$B$1048791,0)),"")</f>
        <v/>
      </c>
      <c r="V201" s="77" t="str">
        <f t="array" ref="V201">IFERROR(INDEX(DFD!$F$2:$F$1048791,MATCH($Q201,DFD!$B$2:$B$1048791,0)),"")</f>
        <v/>
      </c>
      <c r="W201" s="84" t="str">
        <f t="array" ref="W201">IFERROR(INDEX(DFD!$E$2:$E$1048791,MATCH($Q201,DFD!$B$2:$B$1048791,0)),"")</f>
        <v/>
      </c>
      <c r="X201" s="84" t="str">
        <f t="array" ref="X201">IFERROR(INDEX(DFD!$K$2:$K$1048791,MATCH($Q201,DFD!$B$2:$B$1048791,0)),"")</f>
        <v/>
      </c>
      <c r="Y201" s="84" t="str">
        <f t="array" ref="Y201">IFERROR(INDEX(DFD!$L$2:$L$1048790,MATCH($Q201,DFD!$B$2:$B$1048790,0)),"")</f>
        <v/>
      </c>
      <c r="Z201" s="84">
        <f t="shared" si="4"/>
        <v>45</v>
      </c>
      <c r="AA201" s="59"/>
      <c r="AB201" s="59" t="s">
        <v>72</v>
      </c>
      <c r="AC201" s="59"/>
      <c r="AD201" s="85">
        <v>46043.0</v>
      </c>
      <c r="AE201" s="114">
        <f t="shared" si="5"/>
        <v>1</v>
      </c>
    </row>
    <row r="202" ht="15.75" customHeight="1">
      <c r="A202" s="92"/>
      <c r="B202" s="92" t="s">
        <v>80</v>
      </c>
      <c r="C202" s="116" t="s">
        <v>809</v>
      </c>
      <c r="D202" s="116" t="s">
        <v>51</v>
      </c>
      <c r="E202" s="116">
        <v>2.0</v>
      </c>
      <c r="F202" s="117">
        <v>1000.0</v>
      </c>
      <c r="G202" s="90" t="s">
        <v>53</v>
      </c>
      <c r="H202" s="118">
        <v>46174.0</v>
      </c>
      <c r="I202" s="92" t="s">
        <v>18</v>
      </c>
      <c r="J202" s="92" t="s">
        <v>54</v>
      </c>
      <c r="K202" s="92" t="s">
        <v>83</v>
      </c>
      <c r="L202" s="92" t="s">
        <v>197</v>
      </c>
      <c r="M202" s="92" t="s">
        <v>84</v>
      </c>
      <c r="N202" s="92" t="s">
        <v>20</v>
      </c>
      <c r="O202" s="87" t="s">
        <v>59</v>
      </c>
      <c r="P202" s="87"/>
      <c r="Q202" s="87" t="s">
        <v>810</v>
      </c>
      <c r="R202" s="92" t="s">
        <v>302</v>
      </c>
      <c r="S202" s="87"/>
      <c r="T202" s="87"/>
      <c r="U202" s="94" t="str">
        <f t="array" ref="U202">IFERROR(INDEX(DFD!$D$2:$D$1048791,MATCH($Q202,DFD!$B$2:$B$1048791,0)),"")</f>
        <v/>
      </c>
      <c r="V202" s="94" t="str">
        <f t="array" ref="V202">IFERROR(INDEX(DFD!$F$2:$F$1048791,MATCH($Q202,DFD!$B$2:$B$1048791,0)),"")</f>
        <v/>
      </c>
      <c r="W202" s="97" t="str">
        <f t="array" ref="W202">IFERROR(INDEX(DFD!$E$2:$E$1048791,MATCH($Q202,DFD!$B$2:$B$1048791,0)),"")</f>
        <v/>
      </c>
      <c r="X202" s="97" t="str">
        <f t="array" ref="X202">IFERROR(INDEX(DFD!$K$2:$K$1048791,MATCH($Q202,DFD!$B$2:$B$1048791,0)),"")</f>
        <v/>
      </c>
      <c r="Y202" s="97" t="str">
        <f t="array" ref="Y202">IFERROR(INDEX(DFD!$L$2:$L$1048790,MATCH($Q202,DFD!$B$2:$B$1048790,0)),"")</f>
        <v/>
      </c>
      <c r="Z202" s="97">
        <f t="shared" si="4"/>
        <v>45</v>
      </c>
      <c r="AA202" s="87"/>
      <c r="AB202" s="87" t="s">
        <v>72</v>
      </c>
      <c r="AC202" s="87"/>
      <c r="AD202" s="99">
        <v>46043.0</v>
      </c>
      <c r="AE202" s="119">
        <f t="shared" si="5"/>
        <v>1</v>
      </c>
    </row>
    <row r="203" ht="15.75" customHeight="1">
      <c r="A203" s="67"/>
      <c r="B203" s="67" t="s">
        <v>92</v>
      </c>
      <c r="C203" s="81" t="s">
        <v>814</v>
      </c>
      <c r="D203" s="81" t="s">
        <v>51</v>
      </c>
      <c r="E203" s="81">
        <v>2.0</v>
      </c>
      <c r="F203" s="113">
        <v>1000.0</v>
      </c>
      <c r="G203" s="73" t="s">
        <v>53</v>
      </c>
      <c r="H203" s="83">
        <v>46174.0</v>
      </c>
      <c r="I203" s="67" t="s">
        <v>18</v>
      </c>
      <c r="J203" s="67" t="s">
        <v>54</v>
      </c>
      <c r="K203" s="67" t="s">
        <v>83</v>
      </c>
      <c r="L203" s="67" t="s">
        <v>56</v>
      </c>
      <c r="M203" s="67" t="s">
        <v>84</v>
      </c>
      <c r="N203" s="67" t="s">
        <v>20</v>
      </c>
      <c r="O203" s="59" t="s">
        <v>59</v>
      </c>
      <c r="P203" s="59"/>
      <c r="Q203" s="59" t="s">
        <v>815</v>
      </c>
      <c r="R203" s="67" t="s">
        <v>531</v>
      </c>
      <c r="S203" s="59"/>
      <c r="T203" s="59"/>
      <c r="U203" s="77" t="str">
        <f t="array" ref="U203">IFERROR(INDEX(DFD!$D$2:$D$1048791,MATCH($Q203,DFD!$B$2:$B$1048791,0)),"")</f>
        <v/>
      </c>
      <c r="V203" s="77" t="str">
        <f t="array" ref="V203">IFERROR(INDEX(DFD!$F$2:$F$1048791,MATCH($Q203,DFD!$B$2:$B$1048791,0)),"")</f>
        <v/>
      </c>
      <c r="W203" s="84" t="str">
        <f t="array" ref="W203">IFERROR(INDEX(DFD!$E$2:$E$1048791,MATCH($Q203,DFD!$B$2:$B$1048791,0)),"")</f>
        <v/>
      </c>
      <c r="X203" s="84" t="str">
        <f t="array" ref="X203">IFERROR(INDEX(DFD!$K$2:$K$1048791,MATCH($Q203,DFD!$B$2:$B$1048791,0)),"")</f>
        <v/>
      </c>
      <c r="Y203" s="84" t="str">
        <f t="array" ref="Y203">IFERROR(INDEX(DFD!$L$2:$L$1048790,MATCH($Q203,DFD!$B$2:$B$1048790,0)),"")</f>
        <v/>
      </c>
      <c r="Z203" s="84">
        <f t="shared" si="4"/>
        <v>45</v>
      </c>
      <c r="AA203" s="59"/>
      <c r="AB203" s="59" t="s">
        <v>72</v>
      </c>
      <c r="AC203" s="59"/>
      <c r="AD203" s="85">
        <v>46043.0</v>
      </c>
      <c r="AE203" s="114">
        <f t="shared" si="5"/>
        <v>1</v>
      </c>
    </row>
    <row r="204" ht="15.75" customHeight="1">
      <c r="A204" s="92"/>
      <c r="B204" s="92" t="s">
        <v>98</v>
      </c>
      <c r="C204" s="116" t="s">
        <v>814</v>
      </c>
      <c r="D204" s="116" t="s">
        <v>51</v>
      </c>
      <c r="E204" s="116">
        <v>2.0</v>
      </c>
      <c r="F204" s="117">
        <v>1000.0</v>
      </c>
      <c r="G204" s="90" t="s">
        <v>53</v>
      </c>
      <c r="H204" s="118">
        <v>46174.0</v>
      </c>
      <c r="I204" s="92" t="s">
        <v>18</v>
      </c>
      <c r="J204" s="92" t="s">
        <v>54</v>
      </c>
      <c r="K204" s="92" t="s">
        <v>83</v>
      </c>
      <c r="L204" s="92" t="s">
        <v>56</v>
      </c>
      <c r="M204" s="92" t="s">
        <v>84</v>
      </c>
      <c r="N204" s="92" t="s">
        <v>20</v>
      </c>
      <c r="O204" s="87" t="s">
        <v>59</v>
      </c>
      <c r="P204" s="87"/>
      <c r="Q204" s="87" t="s">
        <v>815</v>
      </c>
      <c r="R204" s="92" t="s">
        <v>531</v>
      </c>
      <c r="S204" s="87"/>
      <c r="T204" s="87"/>
      <c r="U204" s="94" t="str">
        <f t="array" ref="U204">IFERROR(INDEX(DFD!$D$2:$D$1048791,MATCH($Q204,DFD!$B$2:$B$1048791,0)),"")</f>
        <v/>
      </c>
      <c r="V204" s="94" t="str">
        <f t="array" ref="V204">IFERROR(INDEX(DFD!$F$2:$F$1048791,MATCH($Q204,DFD!$B$2:$B$1048791,0)),"")</f>
        <v/>
      </c>
      <c r="W204" s="97" t="str">
        <f t="array" ref="W204">IFERROR(INDEX(DFD!$E$2:$E$1048791,MATCH($Q204,DFD!$B$2:$B$1048791,0)),"")</f>
        <v/>
      </c>
      <c r="X204" s="97" t="str">
        <f t="array" ref="X204">IFERROR(INDEX(DFD!$K$2:$K$1048791,MATCH($Q204,DFD!$B$2:$B$1048791,0)),"")</f>
        <v/>
      </c>
      <c r="Y204" s="97" t="str">
        <f t="array" ref="Y204">IFERROR(INDEX(DFD!$L$2:$L$1048790,MATCH($Q204,DFD!$B$2:$B$1048790,0)),"")</f>
        <v/>
      </c>
      <c r="Z204" s="97">
        <f t="shared" si="4"/>
        <v>45</v>
      </c>
      <c r="AA204" s="87"/>
      <c r="AB204" s="87" t="s">
        <v>72</v>
      </c>
      <c r="AC204" s="87"/>
      <c r="AD204" s="99">
        <v>46043.0</v>
      </c>
      <c r="AE204" s="119">
        <f t="shared" si="5"/>
        <v>1</v>
      </c>
    </row>
    <row r="205" ht="15.75" customHeight="1">
      <c r="A205" s="67"/>
      <c r="B205" s="67" t="s">
        <v>355</v>
      </c>
      <c r="C205" s="81" t="s">
        <v>819</v>
      </c>
      <c r="D205" s="81" t="s">
        <v>51</v>
      </c>
      <c r="E205" s="81">
        <v>1.0</v>
      </c>
      <c r="F205" s="113">
        <v>7000.0</v>
      </c>
      <c r="G205" s="73" t="s">
        <v>53</v>
      </c>
      <c r="H205" s="83">
        <v>46204.0</v>
      </c>
      <c r="I205" s="67" t="s">
        <v>18</v>
      </c>
      <c r="J205" s="67" t="s">
        <v>54</v>
      </c>
      <c r="K205" s="67" t="s">
        <v>83</v>
      </c>
      <c r="L205" s="67" t="s">
        <v>56</v>
      </c>
      <c r="M205" s="67" t="s">
        <v>84</v>
      </c>
      <c r="N205" s="67" t="s">
        <v>20</v>
      </c>
      <c r="O205" s="59" t="s">
        <v>59</v>
      </c>
      <c r="P205" s="59"/>
      <c r="Q205" s="59" t="s">
        <v>815</v>
      </c>
      <c r="R205" s="67" t="s">
        <v>531</v>
      </c>
      <c r="S205" s="59"/>
      <c r="T205" s="59"/>
      <c r="U205" s="77" t="str">
        <f t="array" ref="U205">IFERROR(INDEX(DFD!$D$2:$D$1048791,MATCH($Q205,DFD!$B$2:$B$1048791,0)),"")</f>
        <v/>
      </c>
      <c r="V205" s="77" t="str">
        <f t="array" ref="V205">IFERROR(INDEX(DFD!$F$2:$F$1048791,MATCH($Q205,DFD!$B$2:$B$1048791,0)),"")</f>
        <v/>
      </c>
      <c r="W205" s="84" t="str">
        <f t="array" ref="W205">IFERROR(INDEX(DFD!$E$2:$E$1048791,MATCH($Q205,DFD!$B$2:$B$1048791,0)),"")</f>
        <v/>
      </c>
      <c r="X205" s="84" t="str">
        <f t="array" ref="X205">IFERROR(INDEX(DFD!$K$2:$K$1048791,MATCH($Q205,DFD!$B$2:$B$1048791,0)),"")</f>
        <v/>
      </c>
      <c r="Y205" s="84" t="str">
        <f t="array" ref="Y205">IFERROR(INDEX(DFD!$L$2:$L$1048790,MATCH($Q205,DFD!$B$2:$B$1048790,0)),"")</f>
        <v/>
      </c>
      <c r="Z205" s="84">
        <f t="shared" si="4"/>
        <v>45</v>
      </c>
      <c r="AA205" s="59"/>
      <c r="AB205" s="59" t="s">
        <v>72</v>
      </c>
      <c r="AC205" s="59"/>
      <c r="AD205" s="85">
        <v>46043.0</v>
      </c>
      <c r="AE205" s="114">
        <f t="shared" si="5"/>
        <v>1</v>
      </c>
    </row>
    <row r="206" ht="15.75" customHeight="1">
      <c r="A206" s="87"/>
      <c r="B206" s="87" t="s">
        <v>101</v>
      </c>
      <c r="C206" s="88" t="s">
        <v>823</v>
      </c>
      <c r="D206" s="88" t="s">
        <v>51</v>
      </c>
      <c r="E206" s="88">
        <v>12.0</v>
      </c>
      <c r="F206" s="139">
        <v>41760.0</v>
      </c>
      <c r="G206" s="90" t="s">
        <v>53</v>
      </c>
      <c r="H206" s="91">
        <v>46266.0</v>
      </c>
      <c r="I206" s="92" t="s">
        <v>17</v>
      </c>
      <c r="J206" s="92" t="s">
        <v>54</v>
      </c>
      <c r="K206" s="92" t="s">
        <v>66</v>
      </c>
      <c r="L206" s="92" t="s">
        <v>56</v>
      </c>
      <c r="M206" s="92" t="s">
        <v>500</v>
      </c>
      <c r="N206" s="87" t="s">
        <v>20</v>
      </c>
      <c r="O206" s="87" t="s">
        <v>59</v>
      </c>
      <c r="P206" s="87"/>
      <c r="Q206" s="87" t="s">
        <v>825</v>
      </c>
      <c r="R206" s="92" t="s">
        <v>71</v>
      </c>
      <c r="S206" s="87"/>
      <c r="T206" s="87"/>
      <c r="U206" s="94" t="str">
        <f t="array" ref="U206">IFERROR(INDEX(DFD!$D$2:$D$1048791,MATCH($Q206,DFD!$B$2:$B$1048791,0)),"")</f>
        <v/>
      </c>
      <c r="V206" s="94" t="str">
        <f t="array" ref="V206">IFERROR(INDEX(DFD!$F$2:$F$1048791,MATCH($Q206,DFD!$B$2:$B$1048791,0)),"")</f>
        <v/>
      </c>
      <c r="W206" s="97" t="str">
        <f t="array" ref="W206">IFERROR(INDEX(DFD!$E$2:$E$1048791,MATCH($Q206,DFD!$B$2:$B$1048791,0)),"")</f>
        <v/>
      </c>
      <c r="X206" s="97" t="str">
        <f t="array" ref="X206">IFERROR(INDEX(DFD!$K$2:$K$1048791,MATCH($Q206,DFD!$B$2:$B$1048791,0)),"")</f>
        <v/>
      </c>
      <c r="Y206" s="97" t="str">
        <f t="array" ref="Y206">IFERROR(INDEX(DFD!$L$2:$L$1048790,MATCH($Q206,DFD!$B$2:$B$1048790,0)),"")</f>
        <v/>
      </c>
      <c r="Z206" s="97">
        <f t="shared" si="4"/>
        <v>45</v>
      </c>
      <c r="AA206" s="87"/>
      <c r="AB206" s="87" t="s">
        <v>72</v>
      </c>
      <c r="AC206" s="87"/>
      <c r="AD206" s="99">
        <v>46043.0</v>
      </c>
      <c r="AE206" s="119">
        <f t="shared" si="5"/>
        <v>1</v>
      </c>
    </row>
    <row r="207" ht="15.75" customHeight="1">
      <c r="A207" s="59"/>
      <c r="B207" s="59" t="s">
        <v>101</v>
      </c>
      <c r="C207" s="60" t="s">
        <v>827</v>
      </c>
      <c r="D207" s="60" t="s">
        <v>51</v>
      </c>
      <c r="E207" s="60">
        <v>25.0</v>
      </c>
      <c r="F207" s="138">
        <v>15000.0</v>
      </c>
      <c r="G207" s="73" t="s">
        <v>53</v>
      </c>
      <c r="H207" s="74">
        <v>46235.0</v>
      </c>
      <c r="I207" s="67" t="s">
        <v>17</v>
      </c>
      <c r="J207" s="67" t="s">
        <v>54</v>
      </c>
      <c r="K207" s="67" t="s">
        <v>66</v>
      </c>
      <c r="L207" s="67" t="s">
        <v>56</v>
      </c>
      <c r="M207" s="67" t="s">
        <v>500</v>
      </c>
      <c r="N207" s="59" t="s">
        <v>20</v>
      </c>
      <c r="O207" s="59" t="s">
        <v>59</v>
      </c>
      <c r="P207" s="59"/>
      <c r="Q207" s="59" t="s">
        <v>825</v>
      </c>
      <c r="R207" s="67" t="s">
        <v>71</v>
      </c>
      <c r="S207" s="59"/>
      <c r="T207" s="59"/>
      <c r="U207" s="77" t="str">
        <f t="array" ref="U207">IFERROR(INDEX(DFD!$D$2:$D$1048791,MATCH($Q207,DFD!$B$2:$B$1048791,0)),"")</f>
        <v/>
      </c>
      <c r="V207" s="77" t="str">
        <f t="array" ref="V207">IFERROR(INDEX(DFD!$F$2:$F$1048791,MATCH($Q207,DFD!$B$2:$B$1048791,0)),"")</f>
        <v/>
      </c>
      <c r="W207" s="84" t="str">
        <f t="array" ref="W207">IFERROR(INDEX(DFD!$E$2:$E$1048791,MATCH($Q207,DFD!$B$2:$B$1048791,0)),"")</f>
        <v/>
      </c>
      <c r="X207" s="84" t="str">
        <f t="array" ref="X207">IFERROR(INDEX(DFD!$K$2:$K$1048791,MATCH($Q207,DFD!$B$2:$B$1048791,0)),"")</f>
        <v/>
      </c>
      <c r="Y207" s="84" t="str">
        <f t="array" ref="Y207">IFERROR(INDEX(DFD!$L$2:$L$1048790,MATCH($Q207,DFD!$B$2:$B$1048790,0)),"")</f>
        <v/>
      </c>
      <c r="Z207" s="84">
        <f t="shared" si="4"/>
        <v>45</v>
      </c>
      <c r="AA207" s="59"/>
      <c r="AB207" s="59" t="s">
        <v>72</v>
      </c>
      <c r="AC207" s="59"/>
      <c r="AD207" s="85">
        <v>46043.0</v>
      </c>
      <c r="AE207" s="114">
        <f t="shared" si="5"/>
        <v>1</v>
      </c>
    </row>
    <row r="208" ht="15.75" customHeight="1">
      <c r="A208" s="92"/>
      <c r="B208" s="92" t="s">
        <v>355</v>
      </c>
      <c r="C208" s="116" t="s">
        <v>831</v>
      </c>
      <c r="D208" s="116" t="s">
        <v>51</v>
      </c>
      <c r="E208" s="116">
        <v>20.0</v>
      </c>
      <c r="F208" s="117">
        <v>27000.0</v>
      </c>
      <c r="G208" s="90"/>
      <c r="H208" s="118"/>
      <c r="I208" s="92" t="s">
        <v>17</v>
      </c>
      <c r="J208" s="92"/>
      <c r="K208" s="92"/>
      <c r="L208" s="92"/>
      <c r="M208" s="92" t="s">
        <v>75</v>
      </c>
      <c r="N208" s="87" t="s">
        <v>20</v>
      </c>
      <c r="O208" s="87"/>
      <c r="P208" s="87"/>
      <c r="Q208" s="87" t="s">
        <v>834</v>
      </c>
      <c r="R208" s="92" t="s">
        <v>71</v>
      </c>
      <c r="S208" s="87"/>
      <c r="T208" s="87"/>
      <c r="U208" s="94" t="str">
        <f t="array" ref="U208">IFERROR(INDEX(DFD!$D$2:$D$1048791,MATCH($Q208,DFD!$B$2:$B$1048791,0)),"")</f>
        <v/>
      </c>
      <c r="V208" s="94" t="str">
        <f t="array" ref="V208">IFERROR(INDEX(DFD!$F$2:$F$1048791,MATCH($Q208,DFD!$B$2:$B$1048791,0)),"")</f>
        <v/>
      </c>
      <c r="W208" s="97" t="str">
        <f t="array" ref="W208">IFERROR(INDEX(DFD!$E$2:$E$1048791,MATCH($Q208,DFD!$B$2:$B$1048791,0)),"")</f>
        <v/>
      </c>
      <c r="X208" s="97" t="str">
        <f t="array" ref="X208">IFERROR(INDEX(DFD!$K$2:$K$1048791,MATCH($Q208,DFD!$B$2:$B$1048791,0)),"")</f>
        <v/>
      </c>
      <c r="Y208" s="97" t="str">
        <f t="array" ref="Y208">IFERROR(INDEX(DFD!$L$2:$L$1048790,MATCH($Q208,DFD!$B$2:$B$1048790,0)),"")</f>
        <v/>
      </c>
      <c r="Z208" s="97">
        <f t="shared" si="4"/>
        <v>45</v>
      </c>
      <c r="AA208" s="87"/>
      <c r="AB208" s="87" t="s">
        <v>72</v>
      </c>
      <c r="AC208" s="87"/>
      <c r="AD208" s="99">
        <v>46043.0</v>
      </c>
      <c r="AE208" s="119">
        <f t="shared" si="5"/>
        <v>1</v>
      </c>
    </row>
    <row r="209" ht="15.75" customHeight="1">
      <c r="A209" s="59"/>
      <c r="B209" s="59" t="s">
        <v>101</v>
      </c>
      <c r="C209" s="60" t="s">
        <v>836</v>
      </c>
      <c r="D209" s="60" t="s">
        <v>51</v>
      </c>
      <c r="E209" s="60">
        <v>35.0</v>
      </c>
      <c r="F209" s="138">
        <v>45500.0</v>
      </c>
      <c r="G209" s="73" t="s">
        <v>53</v>
      </c>
      <c r="H209" s="74">
        <v>46266.0</v>
      </c>
      <c r="I209" s="67" t="s">
        <v>17</v>
      </c>
      <c r="J209" s="67" t="s">
        <v>54</v>
      </c>
      <c r="K209" s="67" t="s">
        <v>66</v>
      </c>
      <c r="L209" s="67" t="s">
        <v>56</v>
      </c>
      <c r="M209" s="67" t="s">
        <v>838</v>
      </c>
      <c r="N209" s="59" t="s">
        <v>20</v>
      </c>
      <c r="O209" s="59" t="s">
        <v>59</v>
      </c>
      <c r="P209" s="59"/>
      <c r="Q209" s="59" t="s">
        <v>834</v>
      </c>
      <c r="R209" s="67" t="s">
        <v>71</v>
      </c>
      <c r="S209" s="59"/>
      <c r="T209" s="59"/>
      <c r="U209" s="77" t="str">
        <f t="array" ref="U209">IFERROR(INDEX(DFD!$D$2:$D$1048791,MATCH($Q209,DFD!$B$2:$B$1048791,0)),"")</f>
        <v/>
      </c>
      <c r="V209" s="77" t="str">
        <f t="array" ref="V209">IFERROR(INDEX(DFD!$F$2:$F$1048791,MATCH($Q209,DFD!$B$2:$B$1048791,0)),"")</f>
        <v/>
      </c>
      <c r="W209" s="84" t="str">
        <f t="array" ref="W209">IFERROR(INDEX(DFD!$E$2:$E$1048791,MATCH($Q209,DFD!$B$2:$B$1048791,0)),"")</f>
        <v/>
      </c>
      <c r="X209" s="84" t="str">
        <f t="array" ref="X209">IFERROR(INDEX(DFD!$K$2:$K$1048791,MATCH($Q209,DFD!$B$2:$B$1048791,0)),"")</f>
        <v/>
      </c>
      <c r="Y209" s="84" t="str">
        <f t="array" ref="Y209">IFERROR(INDEX(DFD!$L$2:$L$1048790,MATCH($Q209,DFD!$B$2:$B$1048790,0)),"")</f>
        <v/>
      </c>
      <c r="Z209" s="84">
        <f t="shared" si="4"/>
        <v>45</v>
      </c>
      <c r="AA209" s="59"/>
      <c r="AB209" s="59" t="s">
        <v>72</v>
      </c>
      <c r="AC209" s="59"/>
      <c r="AD209" s="85">
        <v>46043.0</v>
      </c>
      <c r="AE209" s="114">
        <f t="shared" si="5"/>
        <v>1</v>
      </c>
    </row>
    <row r="210" ht="15.75" customHeight="1">
      <c r="A210" s="87"/>
      <c r="B210" s="87" t="s">
        <v>101</v>
      </c>
      <c r="C210" s="88" t="s">
        <v>841</v>
      </c>
      <c r="D210" s="88" t="s">
        <v>51</v>
      </c>
      <c r="E210" s="88">
        <v>40.0</v>
      </c>
      <c r="F210" s="139">
        <v>52000.0</v>
      </c>
      <c r="G210" s="90" t="s">
        <v>53</v>
      </c>
      <c r="H210" s="91">
        <v>46266.0</v>
      </c>
      <c r="I210" s="92" t="s">
        <v>17</v>
      </c>
      <c r="J210" s="92" t="s">
        <v>54</v>
      </c>
      <c r="K210" s="92" t="s">
        <v>66</v>
      </c>
      <c r="L210" s="92" t="s">
        <v>56</v>
      </c>
      <c r="M210" s="92" t="s">
        <v>75</v>
      </c>
      <c r="N210" s="87" t="s">
        <v>20</v>
      </c>
      <c r="O210" s="87" t="s">
        <v>59</v>
      </c>
      <c r="P210" s="87"/>
      <c r="Q210" s="87" t="s">
        <v>834</v>
      </c>
      <c r="R210" s="92" t="s">
        <v>71</v>
      </c>
      <c r="S210" s="87"/>
      <c r="T210" s="87"/>
      <c r="U210" s="94" t="str">
        <f t="array" ref="U210">IFERROR(INDEX(DFD!$D$2:$D$1048791,MATCH($Q210,DFD!$B$2:$B$1048791,0)),"")</f>
        <v/>
      </c>
      <c r="V210" s="94" t="str">
        <f t="array" ref="V210">IFERROR(INDEX(DFD!$F$2:$F$1048791,MATCH($Q210,DFD!$B$2:$B$1048791,0)),"")</f>
        <v/>
      </c>
      <c r="W210" s="97" t="str">
        <f t="array" ref="W210">IFERROR(INDEX(DFD!$E$2:$E$1048791,MATCH($Q210,DFD!$B$2:$B$1048791,0)),"")</f>
        <v/>
      </c>
      <c r="X210" s="97" t="str">
        <f t="array" ref="X210">IFERROR(INDEX(DFD!$K$2:$K$1048791,MATCH($Q210,DFD!$B$2:$B$1048791,0)),"")</f>
        <v/>
      </c>
      <c r="Y210" s="97" t="str">
        <f t="array" ref="Y210">IFERROR(INDEX(DFD!$L$2:$L$1048790,MATCH($Q210,DFD!$B$2:$B$1048790,0)),"")</f>
        <v/>
      </c>
      <c r="Z210" s="97">
        <f t="shared" si="4"/>
        <v>45</v>
      </c>
      <c r="AA210" s="87"/>
      <c r="AB210" s="87" t="s">
        <v>72</v>
      </c>
      <c r="AC210" s="87"/>
      <c r="AD210" s="99">
        <v>46043.0</v>
      </c>
      <c r="AE210" s="119">
        <f t="shared" si="5"/>
        <v>1</v>
      </c>
    </row>
    <row r="211" ht="15.75" customHeight="1">
      <c r="A211" s="59"/>
      <c r="B211" s="59" t="s">
        <v>101</v>
      </c>
      <c r="C211" s="60" t="s">
        <v>845</v>
      </c>
      <c r="D211" s="60" t="s">
        <v>51</v>
      </c>
      <c r="E211" s="60">
        <v>40.0</v>
      </c>
      <c r="F211" s="138">
        <v>120000.0</v>
      </c>
      <c r="G211" s="73" t="s">
        <v>53</v>
      </c>
      <c r="H211" s="74">
        <v>46266.0</v>
      </c>
      <c r="I211" s="67" t="s">
        <v>17</v>
      </c>
      <c r="J211" s="67" t="s">
        <v>54</v>
      </c>
      <c r="K211" s="67" t="s">
        <v>66</v>
      </c>
      <c r="L211" s="67" t="s">
        <v>56</v>
      </c>
      <c r="M211" s="67" t="s">
        <v>838</v>
      </c>
      <c r="N211" s="59" t="s">
        <v>20</v>
      </c>
      <c r="O211" s="59" t="s">
        <v>59</v>
      </c>
      <c r="P211" s="59"/>
      <c r="Q211" s="59" t="s">
        <v>846</v>
      </c>
      <c r="R211" s="67" t="s">
        <v>71</v>
      </c>
      <c r="S211" s="59"/>
      <c r="T211" s="59"/>
      <c r="U211" s="77" t="str">
        <f t="array" ref="U211">IFERROR(INDEX(DFD!$D$2:$D$1048791,MATCH($Q211,DFD!$B$2:$B$1048791,0)),"")</f>
        <v/>
      </c>
      <c r="V211" s="77" t="str">
        <f t="array" ref="V211">IFERROR(INDEX(DFD!$F$2:$F$1048791,MATCH($Q211,DFD!$B$2:$B$1048791,0)),"")</f>
        <v/>
      </c>
      <c r="W211" s="84" t="str">
        <f t="array" ref="W211">IFERROR(INDEX(DFD!$E$2:$E$1048791,MATCH($Q211,DFD!$B$2:$B$1048791,0)),"")</f>
        <v/>
      </c>
      <c r="X211" s="84" t="str">
        <f t="array" ref="X211">IFERROR(INDEX(DFD!$K$2:$K$1048791,MATCH($Q211,DFD!$B$2:$B$1048791,0)),"")</f>
        <v/>
      </c>
      <c r="Y211" s="84" t="str">
        <f t="array" ref="Y211">IFERROR(INDEX(DFD!$L$2:$L$1048790,MATCH($Q211,DFD!$B$2:$B$1048790,0)),"")</f>
        <v/>
      </c>
      <c r="Z211" s="84">
        <f t="shared" si="4"/>
        <v>45</v>
      </c>
      <c r="AA211" s="59"/>
      <c r="AB211" s="59" t="s">
        <v>72</v>
      </c>
      <c r="AC211" s="59"/>
      <c r="AD211" s="85">
        <v>46043.0</v>
      </c>
      <c r="AE211" s="114">
        <f t="shared" si="5"/>
        <v>1</v>
      </c>
    </row>
    <row r="212" ht="15.75" customHeight="1">
      <c r="A212" s="87"/>
      <c r="B212" s="87" t="s">
        <v>101</v>
      </c>
      <c r="C212" s="88" t="s">
        <v>848</v>
      </c>
      <c r="D212" s="88" t="s">
        <v>51</v>
      </c>
      <c r="E212" s="88">
        <v>40.0</v>
      </c>
      <c r="F212" s="139">
        <v>120000.0</v>
      </c>
      <c r="G212" s="90" t="s">
        <v>53</v>
      </c>
      <c r="H212" s="91">
        <v>46266.0</v>
      </c>
      <c r="I212" s="92" t="s">
        <v>17</v>
      </c>
      <c r="J212" s="92" t="s">
        <v>54</v>
      </c>
      <c r="K212" s="92" t="s">
        <v>66</v>
      </c>
      <c r="L212" s="92" t="s">
        <v>56</v>
      </c>
      <c r="M212" s="92" t="s">
        <v>57</v>
      </c>
      <c r="N212" s="87" t="s">
        <v>20</v>
      </c>
      <c r="O212" s="87" t="s">
        <v>59</v>
      </c>
      <c r="P212" s="87"/>
      <c r="Q212" s="87" t="s">
        <v>846</v>
      </c>
      <c r="R212" s="92" t="s">
        <v>71</v>
      </c>
      <c r="S212" s="87"/>
      <c r="T212" s="87"/>
      <c r="U212" s="94" t="str">
        <f t="array" ref="U212">IFERROR(INDEX(DFD!$D$2:$D$1048791,MATCH($Q212,DFD!$B$2:$B$1048791,0)),"")</f>
        <v/>
      </c>
      <c r="V212" s="94" t="str">
        <f t="array" ref="V212">IFERROR(INDEX(DFD!$F$2:$F$1048791,MATCH($Q212,DFD!$B$2:$B$1048791,0)),"")</f>
        <v/>
      </c>
      <c r="W212" s="97" t="str">
        <f t="array" ref="W212">IFERROR(INDEX(DFD!$E$2:$E$1048791,MATCH($Q212,DFD!$B$2:$B$1048791,0)),"")</f>
        <v/>
      </c>
      <c r="X212" s="97" t="str">
        <f t="array" ref="X212">IFERROR(INDEX(DFD!$K$2:$K$1048791,MATCH($Q212,DFD!$B$2:$B$1048791,0)),"")</f>
        <v/>
      </c>
      <c r="Y212" s="97" t="str">
        <f t="array" ref="Y212">IFERROR(INDEX(DFD!$L$2:$L$1048790,MATCH($Q212,DFD!$B$2:$B$1048790,0)),"")</f>
        <v/>
      </c>
      <c r="Z212" s="97">
        <f t="shared" si="4"/>
        <v>45</v>
      </c>
      <c r="AA212" s="87"/>
      <c r="AB212" s="87" t="s">
        <v>72</v>
      </c>
      <c r="AC212" s="87"/>
      <c r="AD212" s="99">
        <v>46043.0</v>
      </c>
      <c r="AE212" s="119">
        <f t="shared" si="5"/>
        <v>1</v>
      </c>
    </row>
    <row r="213" ht="15.75" customHeight="1">
      <c r="A213" s="59"/>
      <c r="B213" s="59" t="s">
        <v>101</v>
      </c>
      <c r="C213" s="60" t="s">
        <v>848</v>
      </c>
      <c r="D213" s="60" t="s">
        <v>51</v>
      </c>
      <c r="E213" s="60">
        <v>4.0</v>
      </c>
      <c r="F213" s="138">
        <v>12000.0</v>
      </c>
      <c r="G213" s="73" t="s">
        <v>53</v>
      </c>
      <c r="H213" s="74">
        <v>46235.0</v>
      </c>
      <c r="I213" s="67" t="s">
        <v>17</v>
      </c>
      <c r="J213" s="67" t="s">
        <v>54</v>
      </c>
      <c r="K213" s="67" t="s">
        <v>66</v>
      </c>
      <c r="L213" s="67" t="s">
        <v>56</v>
      </c>
      <c r="M213" s="67" t="s">
        <v>57</v>
      </c>
      <c r="N213" s="59" t="s">
        <v>20</v>
      </c>
      <c r="O213" s="59" t="s">
        <v>59</v>
      </c>
      <c r="P213" s="59"/>
      <c r="Q213" s="59" t="s">
        <v>846</v>
      </c>
      <c r="R213" s="67" t="s">
        <v>71</v>
      </c>
      <c r="S213" s="59"/>
      <c r="T213" s="59"/>
      <c r="U213" s="77" t="str">
        <f t="array" ref="U213">IFERROR(INDEX(DFD!$D$2:$D$1048791,MATCH($Q213,DFD!$B$2:$B$1048791,0)),"")</f>
        <v/>
      </c>
      <c r="V213" s="77" t="str">
        <f t="array" ref="V213">IFERROR(INDEX(DFD!$F$2:$F$1048791,MATCH($Q213,DFD!$B$2:$B$1048791,0)),"")</f>
        <v/>
      </c>
      <c r="W213" s="84" t="str">
        <f t="array" ref="W213">IFERROR(INDEX(DFD!$E$2:$E$1048791,MATCH($Q213,DFD!$B$2:$B$1048791,0)),"")</f>
        <v/>
      </c>
      <c r="X213" s="84" t="str">
        <f t="array" ref="X213">IFERROR(INDEX(DFD!$K$2:$K$1048791,MATCH($Q213,DFD!$B$2:$B$1048791,0)),"")</f>
        <v/>
      </c>
      <c r="Y213" s="84" t="str">
        <f t="array" ref="Y213">IFERROR(INDEX(DFD!$L$2:$L$1048790,MATCH($Q213,DFD!$B$2:$B$1048790,0)),"")</f>
        <v/>
      </c>
      <c r="Z213" s="84">
        <f t="shared" si="4"/>
        <v>45</v>
      </c>
      <c r="AA213" s="59"/>
      <c r="AB213" s="59" t="s">
        <v>72</v>
      </c>
      <c r="AC213" s="59"/>
      <c r="AD213" s="85">
        <v>46043.0</v>
      </c>
      <c r="AE213" s="114">
        <f t="shared" si="5"/>
        <v>1</v>
      </c>
    </row>
    <row r="214" ht="15.75" customHeight="1">
      <c r="A214" s="87"/>
      <c r="B214" s="87" t="s">
        <v>101</v>
      </c>
      <c r="C214" s="88" t="s">
        <v>851</v>
      </c>
      <c r="D214" s="88" t="s">
        <v>51</v>
      </c>
      <c r="E214" s="88">
        <v>15.0</v>
      </c>
      <c r="F214" s="139">
        <v>59719.86</v>
      </c>
      <c r="G214" s="90" t="s">
        <v>53</v>
      </c>
      <c r="H214" s="91">
        <v>46266.0</v>
      </c>
      <c r="I214" s="92" t="s">
        <v>17</v>
      </c>
      <c r="J214" s="92" t="s">
        <v>54</v>
      </c>
      <c r="K214" s="92" t="s">
        <v>66</v>
      </c>
      <c r="L214" s="92" t="s">
        <v>56</v>
      </c>
      <c r="M214" s="92" t="s">
        <v>838</v>
      </c>
      <c r="N214" s="87" t="s">
        <v>20</v>
      </c>
      <c r="O214" s="87" t="s">
        <v>59</v>
      </c>
      <c r="P214" s="87"/>
      <c r="Q214" s="87" t="s">
        <v>846</v>
      </c>
      <c r="R214" s="92" t="s">
        <v>71</v>
      </c>
      <c r="S214" s="87"/>
      <c r="T214" s="87"/>
      <c r="U214" s="94" t="str">
        <f t="array" ref="U214">IFERROR(INDEX(DFD!$D$2:$D$1048791,MATCH($Q214,DFD!$B$2:$B$1048791,0)),"")</f>
        <v/>
      </c>
      <c r="V214" s="94" t="str">
        <f t="array" ref="V214">IFERROR(INDEX(DFD!$F$2:$F$1048791,MATCH($Q214,DFD!$B$2:$B$1048791,0)),"")</f>
        <v/>
      </c>
      <c r="W214" s="97" t="str">
        <f t="array" ref="W214">IFERROR(INDEX(DFD!$E$2:$E$1048791,MATCH($Q214,DFD!$B$2:$B$1048791,0)),"")</f>
        <v/>
      </c>
      <c r="X214" s="97" t="str">
        <f t="array" ref="X214">IFERROR(INDEX(DFD!$K$2:$K$1048791,MATCH($Q214,DFD!$B$2:$B$1048791,0)),"")</f>
        <v/>
      </c>
      <c r="Y214" s="97" t="str">
        <f t="array" ref="Y214">IFERROR(INDEX(DFD!$L$2:$L$1048790,MATCH($Q214,DFD!$B$2:$B$1048790,0)),"")</f>
        <v/>
      </c>
      <c r="Z214" s="97">
        <f t="shared" si="4"/>
        <v>45</v>
      </c>
      <c r="AA214" s="87"/>
      <c r="AB214" s="87" t="s">
        <v>72</v>
      </c>
      <c r="AC214" s="87"/>
      <c r="AD214" s="99">
        <v>46043.0</v>
      </c>
      <c r="AE214" s="119">
        <f t="shared" si="5"/>
        <v>1</v>
      </c>
    </row>
    <row r="215" ht="15.75" customHeight="1">
      <c r="A215" s="67"/>
      <c r="B215" s="67" t="s">
        <v>355</v>
      </c>
      <c r="C215" s="81" t="s">
        <v>854</v>
      </c>
      <c r="D215" s="81" t="s">
        <v>51</v>
      </c>
      <c r="E215" s="81">
        <v>50.0</v>
      </c>
      <c r="F215" s="113">
        <v>4350.0</v>
      </c>
      <c r="G215" s="73"/>
      <c r="H215" s="83"/>
      <c r="I215" s="67" t="s">
        <v>17</v>
      </c>
      <c r="J215" s="67"/>
      <c r="K215" s="67"/>
      <c r="L215" s="67"/>
      <c r="M215" s="67" t="s">
        <v>75</v>
      </c>
      <c r="N215" s="59" t="s">
        <v>20</v>
      </c>
      <c r="O215" s="59"/>
      <c r="P215" s="59"/>
      <c r="Q215" s="59" t="s">
        <v>846</v>
      </c>
      <c r="R215" s="67" t="s">
        <v>71</v>
      </c>
      <c r="S215" s="59"/>
      <c r="T215" s="59"/>
      <c r="U215" s="77" t="str">
        <f t="array" ref="U215">IFERROR(INDEX(DFD!$D$2:$D$1048791,MATCH($Q215,DFD!$B$2:$B$1048791,0)),"")</f>
        <v/>
      </c>
      <c r="V215" s="77" t="str">
        <f t="array" ref="V215">IFERROR(INDEX(DFD!$F$2:$F$1048791,MATCH($Q215,DFD!$B$2:$B$1048791,0)),"")</f>
        <v/>
      </c>
      <c r="W215" s="84" t="str">
        <f t="array" ref="W215">IFERROR(INDEX(DFD!$E$2:$E$1048791,MATCH($Q215,DFD!$B$2:$B$1048791,0)),"")</f>
        <v/>
      </c>
      <c r="X215" s="84" t="str">
        <f t="array" ref="X215">IFERROR(INDEX(DFD!$K$2:$K$1048791,MATCH($Q215,DFD!$B$2:$B$1048791,0)),"")</f>
        <v/>
      </c>
      <c r="Y215" s="84" t="str">
        <f t="array" ref="Y215">IFERROR(INDEX(DFD!$L$2:$L$1048790,MATCH($Q215,DFD!$B$2:$B$1048790,0)),"")</f>
        <v/>
      </c>
      <c r="Z215" s="84">
        <f t="shared" si="4"/>
        <v>45</v>
      </c>
      <c r="AA215" s="59"/>
      <c r="AB215" s="59" t="s">
        <v>72</v>
      </c>
      <c r="AC215" s="59"/>
      <c r="AD215" s="85">
        <v>46043.0</v>
      </c>
      <c r="AE215" s="114">
        <f t="shared" si="5"/>
        <v>1</v>
      </c>
    </row>
    <row r="216" ht="15.75" customHeight="1">
      <c r="A216" s="92"/>
      <c r="B216" s="92" t="s">
        <v>355</v>
      </c>
      <c r="C216" s="116" t="s">
        <v>857</v>
      </c>
      <c r="D216" s="116" t="s">
        <v>51</v>
      </c>
      <c r="E216" s="116">
        <v>10.0</v>
      </c>
      <c r="F216" s="117">
        <v>1580.0</v>
      </c>
      <c r="G216" s="90"/>
      <c r="H216" s="118"/>
      <c r="I216" s="92" t="s">
        <v>17</v>
      </c>
      <c r="J216" s="92"/>
      <c r="K216" s="92"/>
      <c r="L216" s="92"/>
      <c r="M216" s="92" t="s">
        <v>75</v>
      </c>
      <c r="N216" s="87" t="s">
        <v>20</v>
      </c>
      <c r="O216" s="87"/>
      <c r="P216" s="87"/>
      <c r="Q216" s="87" t="s">
        <v>846</v>
      </c>
      <c r="R216" s="92" t="s">
        <v>71</v>
      </c>
      <c r="S216" s="87"/>
      <c r="T216" s="87"/>
      <c r="U216" s="94" t="str">
        <f t="array" ref="U216">IFERROR(INDEX(DFD!$D$2:$D$1048791,MATCH($Q216,DFD!$B$2:$B$1048791,0)),"")</f>
        <v/>
      </c>
      <c r="V216" s="94" t="str">
        <f t="array" ref="V216">IFERROR(INDEX(DFD!$F$2:$F$1048791,MATCH($Q216,DFD!$B$2:$B$1048791,0)),"")</f>
        <v/>
      </c>
      <c r="W216" s="97" t="str">
        <f t="array" ref="W216">IFERROR(INDEX(DFD!$E$2:$E$1048791,MATCH($Q216,DFD!$B$2:$B$1048791,0)),"")</f>
        <v/>
      </c>
      <c r="X216" s="97" t="str">
        <f t="array" ref="X216">IFERROR(INDEX(DFD!$K$2:$K$1048791,MATCH($Q216,DFD!$B$2:$B$1048791,0)),"")</f>
        <v/>
      </c>
      <c r="Y216" s="97" t="str">
        <f t="array" ref="Y216">IFERROR(INDEX(DFD!$L$2:$L$1048790,MATCH($Q216,DFD!$B$2:$B$1048790,0)),"")</f>
        <v/>
      </c>
      <c r="Z216" s="97">
        <f t="shared" si="4"/>
        <v>45</v>
      </c>
      <c r="AA216" s="87"/>
      <c r="AB216" s="87" t="s">
        <v>72</v>
      </c>
      <c r="AC216" s="87"/>
      <c r="AD216" s="99">
        <v>46043.0</v>
      </c>
      <c r="AE216" s="119">
        <f t="shared" si="5"/>
        <v>1</v>
      </c>
    </row>
    <row r="217" ht="15.75" customHeight="1">
      <c r="A217" s="59"/>
      <c r="B217" s="59" t="s">
        <v>101</v>
      </c>
      <c r="C217" s="60" t="s">
        <v>861</v>
      </c>
      <c r="D217" s="60" t="s">
        <v>51</v>
      </c>
      <c r="E217" s="60">
        <v>250.0</v>
      </c>
      <c r="F217" s="138">
        <v>25000.0</v>
      </c>
      <c r="G217" s="73" t="s">
        <v>53</v>
      </c>
      <c r="H217" s="74">
        <v>46235.0</v>
      </c>
      <c r="I217" s="67" t="s">
        <v>17</v>
      </c>
      <c r="J217" s="67" t="s">
        <v>54</v>
      </c>
      <c r="K217" s="67" t="s">
        <v>66</v>
      </c>
      <c r="L217" s="67" t="s">
        <v>67</v>
      </c>
      <c r="M217" s="67" t="s">
        <v>57</v>
      </c>
      <c r="N217" s="59" t="s">
        <v>20</v>
      </c>
      <c r="O217" s="59" t="s">
        <v>59</v>
      </c>
      <c r="P217" s="59"/>
      <c r="Q217" s="59" t="s">
        <v>846</v>
      </c>
      <c r="R217" s="67" t="s">
        <v>71</v>
      </c>
      <c r="S217" s="59"/>
      <c r="T217" s="59"/>
      <c r="U217" s="77" t="str">
        <f t="array" ref="U217">IFERROR(INDEX(DFD!$D$2:$D$1048791,MATCH($Q217,DFD!$B$2:$B$1048791,0)),"")</f>
        <v/>
      </c>
      <c r="V217" s="77" t="str">
        <f t="array" ref="V217">IFERROR(INDEX(DFD!$F$2:$F$1048791,MATCH($Q217,DFD!$B$2:$B$1048791,0)),"")</f>
        <v/>
      </c>
      <c r="W217" s="84" t="str">
        <f t="array" ref="W217">IFERROR(INDEX(DFD!$E$2:$E$1048791,MATCH($Q217,DFD!$B$2:$B$1048791,0)),"")</f>
        <v/>
      </c>
      <c r="X217" s="84" t="str">
        <f t="array" ref="X217">IFERROR(INDEX(DFD!$K$2:$K$1048791,MATCH($Q217,DFD!$B$2:$B$1048791,0)),"")</f>
        <v/>
      </c>
      <c r="Y217" s="84" t="str">
        <f t="array" ref="Y217">IFERROR(INDEX(DFD!$L$2:$L$1048790,MATCH($Q217,DFD!$B$2:$B$1048790,0)),"")</f>
        <v/>
      </c>
      <c r="Z217" s="84">
        <f t="shared" si="4"/>
        <v>45</v>
      </c>
      <c r="AA217" s="59"/>
      <c r="AB217" s="59" t="s">
        <v>72</v>
      </c>
      <c r="AC217" s="59"/>
      <c r="AD217" s="85">
        <v>46043.0</v>
      </c>
      <c r="AE217" s="114">
        <f t="shared" si="5"/>
        <v>1</v>
      </c>
    </row>
    <row r="218" ht="15.75" customHeight="1">
      <c r="A218" s="92"/>
      <c r="B218" s="92" t="s">
        <v>355</v>
      </c>
      <c r="C218" s="116" t="s">
        <v>862</v>
      </c>
      <c r="D218" s="116" t="s">
        <v>51</v>
      </c>
      <c r="E218" s="116">
        <v>80.0</v>
      </c>
      <c r="F218" s="117">
        <v>12960.0</v>
      </c>
      <c r="G218" s="90"/>
      <c r="H218" s="118"/>
      <c r="I218" s="92" t="s">
        <v>17</v>
      </c>
      <c r="J218" s="92"/>
      <c r="K218" s="92"/>
      <c r="L218" s="92"/>
      <c r="M218" s="92" t="s">
        <v>75</v>
      </c>
      <c r="N218" s="87" t="s">
        <v>20</v>
      </c>
      <c r="O218" s="87"/>
      <c r="P218" s="87"/>
      <c r="Q218" s="87" t="s">
        <v>846</v>
      </c>
      <c r="R218" s="92" t="s">
        <v>71</v>
      </c>
      <c r="S218" s="87"/>
      <c r="T218" s="87"/>
      <c r="U218" s="94" t="str">
        <f t="array" ref="U218">IFERROR(INDEX(DFD!$D$2:$D$1048791,MATCH($Q218,DFD!$B$2:$B$1048791,0)),"")</f>
        <v/>
      </c>
      <c r="V218" s="94" t="str">
        <f t="array" ref="V218">IFERROR(INDEX(DFD!$F$2:$F$1048791,MATCH($Q218,DFD!$B$2:$B$1048791,0)),"")</f>
        <v/>
      </c>
      <c r="W218" s="97" t="str">
        <f t="array" ref="W218">IFERROR(INDEX(DFD!$E$2:$E$1048791,MATCH($Q218,DFD!$B$2:$B$1048791,0)),"")</f>
        <v/>
      </c>
      <c r="X218" s="97" t="str">
        <f t="array" ref="X218">IFERROR(INDEX(DFD!$K$2:$K$1048791,MATCH($Q218,DFD!$B$2:$B$1048791,0)),"")</f>
        <v/>
      </c>
      <c r="Y218" s="97" t="str">
        <f t="array" ref="Y218">IFERROR(INDEX(DFD!$L$2:$L$1048790,MATCH($Q218,DFD!$B$2:$B$1048790,0)),"")</f>
        <v/>
      </c>
      <c r="Z218" s="97">
        <f t="shared" si="4"/>
        <v>45</v>
      </c>
      <c r="AA218" s="87"/>
      <c r="AB218" s="87" t="s">
        <v>72</v>
      </c>
      <c r="AC218" s="87"/>
      <c r="AD218" s="99">
        <v>46043.0</v>
      </c>
      <c r="AE218" s="119">
        <f t="shared" si="5"/>
        <v>1</v>
      </c>
    </row>
    <row r="219" ht="15.75" customHeight="1">
      <c r="A219" s="67"/>
      <c r="B219" s="67" t="s">
        <v>355</v>
      </c>
      <c r="C219" s="81" t="s">
        <v>865</v>
      </c>
      <c r="D219" s="81" t="s">
        <v>51</v>
      </c>
      <c r="E219" s="81">
        <v>60.0</v>
      </c>
      <c r="F219" s="113">
        <v>5280.0</v>
      </c>
      <c r="G219" s="73"/>
      <c r="H219" s="83"/>
      <c r="I219" s="67" t="s">
        <v>17</v>
      </c>
      <c r="J219" s="67"/>
      <c r="K219" s="67"/>
      <c r="L219" s="67"/>
      <c r="M219" s="67" t="s">
        <v>75</v>
      </c>
      <c r="N219" s="59" t="s">
        <v>20</v>
      </c>
      <c r="O219" s="59"/>
      <c r="P219" s="59"/>
      <c r="Q219" s="59" t="s">
        <v>846</v>
      </c>
      <c r="R219" s="67" t="s">
        <v>71</v>
      </c>
      <c r="S219" s="59"/>
      <c r="T219" s="59"/>
      <c r="U219" s="77" t="str">
        <f t="array" ref="U219">IFERROR(INDEX(DFD!$D$2:$D$1048791,MATCH($Q219,DFD!$B$2:$B$1048791,0)),"")</f>
        <v/>
      </c>
      <c r="V219" s="77" t="str">
        <f t="array" ref="V219">IFERROR(INDEX(DFD!$F$2:$F$1048791,MATCH($Q219,DFD!$B$2:$B$1048791,0)),"")</f>
        <v/>
      </c>
      <c r="W219" s="84" t="str">
        <f t="array" ref="W219">IFERROR(INDEX(DFD!$E$2:$E$1048791,MATCH($Q219,DFD!$B$2:$B$1048791,0)),"")</f>
        <v/>
      </c>
      <c r="X219" s="84" t="str">
        <f t="array" ref="X219">IFERROR(INDEX(DFD!$K$2:$K$1048791,MATCH($Q219,DFD!$B$2:$B$1048791,0)),"")</f>
        <v/>
      </c>
      <c r="Y219" s="84" t="str">
        <f t="array" ref="Y219">IFERROR(INDEX(DFD!$L$2:$L$1048790,MATCH($Q219,DFD!$B$2:$B$1048790,0)),"")</f>
        <v/>
      </c>
      <c r="Z219" s="84">
        <f t="shared" si="4"/>
        <v>45</v>
      </c>
      <c r="AA219" s="59"/>
      <c r="AB219" s="59" t="s">
        <v>72</v>
      </c>
      <c r="AC219" s="59"/>
      <c r="AD219" s="85">
        <v>46043.0</v>
      </c>
      <c r="AE219" s="114">
        <f t="shared" si="5"/>
        <v>1</v>
      </c>
    </row>
    <row r="220" ht="15.75" customHeight="1">
      <c r="A220" s="87"/>
      <c r="B220" s="87" t="s">
        <v>101</v>
      </c>
      <c r="C220" s="88" t="s">
        <v>868</v>
      </c>
      <c r="D220" s="88" t="s">
        <v>51</v>
      </c>
      <c r="E220" s="88">
        <v>8.0</v>
      </c>
      <c r="F220" s="139">
        <v>48000.0</v>
      </c>
      <c r="G220" s="90" t="s">
        <v>53</v>
      </c>
      <c r="H220" s="91">
        <v>46266.0</v>
      </c>
      <c r="I220" s="92" t="s">
        <v>17</v>
      </c>
      <c r="J220" s="92" t="s">
        <v>54</v>
      </c>
      <c r="K220" s="92" t="s">
        <v>66</v>
      </c>
      <c r="L220" s="92" t="s">
        <v>56</v>
      </c>
      <c r="M220" s="92" t="s">
        <v>500</v>
      </c>
      <c r="N220" s="87" t="s">
        <v>20</v>
      </c>
      <c r="O220" s="87" t="s">
        <v>59</v>
      </c>
      <c r="P220" s="87"/>
      <c r="Q220" s="87" t="s">
        <v>846</v>
      </c>
      <c r="R220" s="92" t="s">
        <v>71</v>
      </c>
      <c r="S220" s="87"/>
      <c r="T220" s="87"/>
      <c r="U220" s="94" t="str">
        <f t="array" ref="U220">IFERROR(INDEX(DFD!$D$2:$D$1048791,MATCH($Q220,DFD!$B$2:$B$1048791,0)),"")</f>
        <v/>
      </c>
      <c r="V220" s="94" t="str">
        <f t="array" ref="V220">IFERROR(INDEX(DFD!$F$2:$F$1048791,MATCH($Q220,DFD!$B$2:$B$1048791,0)),"")</f>
        <v/>
      </c>
      <c r="W220" s="97" t="str">
        <f t="array" ref="W220">IFERROR(INDEX(DFD!$E$2:$E$1048791,MATCH($Q220,DFD!$B$2:$B$1048791,0)),"")</f>
        <v/>
      </c>
      <c r="X220" s="97" t="str">
        <f t="array" ref="X220">IFERROR(INDEX(DFD!$K$2:$K$1048791,MATCH($Q220,DFD!$B$2:$B$1048791,0)),"")</f>
        <v/>
      </c>
      <c r="Y220" s="97" t="str">
        <f t="array" ref="Y220">IFERROR(INDEX(DFD!$L$2:$L$1048790,MATCH($Q220,DFD!$B$2:$B$1048790,0)),"")</f>
        <v/>
      </c>
      <c r="Z220" s="97">
        <f t="shared" si="4"/>
        <v>45</v>
      </c>
      <c r="AA220" s="87"/>
      <c r="AB220" s="87" t="s">
        <v>72</v>
      </c>
      <c r="AC220" s="87"/>
      <c r="AD220" s="99">
        <v>46043.0</v>
      </c>
      <c r="AE220" s="119">
        <f t="shared" si="5"/>
        <v>1</v>
      </c>
    </row>
    <row r="221" ht="15.75" customHeight="1">
      <c r="A221" s="67"/>
      <c r="B221" s="67" t="s">
        <v>355</v>
      </c>
      <c r="C221" s="81" t="s">
        <v>871</v>
      </c>
      <c r="D221" s="81" t="s">
        <v>51</v>
      </c>
      <c r="E221" s="81">
        <v>100.0</v>
      </c>
      <c r="F221" s="113">
        <v>68000.0</v>
      </c>
      <c r="G221" s="73"/>
      <c r="H221" s="83"/>
      <c r="I221" s="67" t="s">
        <v>17</v>
      </c>
      <c r="J221" s="67"/>
      <c r="K221" s="67"/>
      <c r="L221" s="67"/>
      <c r="M221" s="67" t="s">
        <v>75</v>
      </c>
      <c r="N221" s="59" t="s">
        <v>20</v>
      </c>
      <c r="O221" s="59"/>
      <c r="P221" s="59"/>
      <c r="Q221" s="59" t="s">
        <v>872</v>
      </c>
      <c r="R221" s="67" t="s">
        <v>71</v>
      </c>
      <c r="S221" s="59"/>
      <c r="T221" s="59"/>
      <c r="U221" s="77" t="str">
        <f t="array" ref="U221">IFERROR(INDEX(DFD!$D$2:$D$1048791,MATCH($Q221,DFD!$B$2:$B$1048791,0)),"")</f>
        <v/>
      </c>
      <c r="V221" s="77" t="str">
        <f t="array" ref="V221">IFERROR(INDEX(DFD!$F$2:$F$1048791,MATCH($Q221,DFD!$B$2:$B$1048791,0)),"")</f>
        <v/>
      </c>
      <c r="W221" s="84" t="str">
        <f t="array" ref="W221">IFERROR(INDEX(DFD!$E$2:$E$1048791,MATCH($Q221,DFD!$B$2:$B$1048791,0)),"")</f>
        <v/>
      </c>
      <c r="X221" s="84" t="str">
        <f t="array" ref="X221">IFERROR(INDEX(DFD!$K$2:$K$1048791,MATCH($Q221,DFD!$B$2:$B$1048791,0)),"")</f>
        <v/>
      </c>
      <c r="Y221" s="84" t="str">
        <f t="array" ref="Y221">IFERROR(INDEX(DFD!$L$2:$L$1048790,MATCH($Q221,DFD!$B$2:$B$1048790,0)),"")</f>
        <v/>
      </c>
      <c r="Z221" s="84">
        <f t="shared" si="4"/>
        <v>45</v>
      </c>
      <c r="AA221" s="59"/>
      <c r="AB221" s="59" t="s">
        <v>72</v>
      </c>
      <c r="AC221" s="59"/>
      <c r="AD221" s="85">
        <v>46043.0</v>
      </c>
      <c r="AE221" s="114">
        <f t="shared" si="5"/>
        <v>1</v>
      </c>
    </row>
    <row r="222" ht="15.75" customHeight="1">
      <c r="A222" s="87"/>
      <c r="B222" s="87" t="s">
        <v>101</v>
      </c>
      <c r="C222" s="88" t="s">
        <v>875</v>
      </c>
      <c r="D222" s="88" t="s">
        <v>51</v>
      </c>
      <c r="E222" s="88">
        <v>40.0</v>
      </c>
      <c r="F222" s="139">
        <v>40000.0</v>
      </c>
      <c r="G222" s="90" t="s">
        <v>53</v>
      </c>
      <c r="H222" s="91">
        <v>46266.0</v>
      </c>
      <c r="I222" s="92" t="s">
        <v>17</v>
      </c>
      <c r="J222" s="92" t="s">
        <v>54</v>
      </c>
      <c r="K222" s="92" t="s">
        <v>66</v>
      </c>
      <c r="L222" s="92" t="s">
        <v>67</v>
      </c>
      <c r="M222" s="92" t="s">
        <v>448</v>
      </c>
      <c r="N222" s="87" t="s">
        <v>20</v>
      </c>
      <c r="O222" s="87" t="s">
        <v>59</v>
      </c>
      <c r="P222" s="87"/>
      <c r="Q222" s="87" t="s">
        <v>872</v>
      </c>
      <c r="R222" s="92" t="s">
        <v>71</v>
      </c>
      <c r="S222" s="87"/>
      <c r="T222" s="87"/>
      <c r="U222" s="94" t="str">
        <f t="array" ref="U222">IFERROR(INDEX(DFD!$D$2:$D$1048791,MATCH($Q222,DFD!$B$2:$B$1048791,0)),"")</f>
        <v/>
      </c>
      <c r="V222" s="94" t="str">
        <f t="array" ref="V222">IFERROR(INDEX(DFD!$F$2:$F$1048791,MATCH($Q222,DFD!$B$2:$B$1048791,0)),"")</f>
        <v/>
      </c>
      <c r="W222" s="97" t="str">
        <f t="array" ref="W222">IFERROR(INDEX(DFD!$E$2:$E$1048791,MATCH($Q222,DFD!$B$2:$B$1048791,0)),"")</f>
        <v/>
      </c>
      <c r="X222" s="97" t="str">
        <f t="array" ref="X222">IFERROR(INDEX(DFD!$K$2:$K$1048791,MATCH($Q222,DFD!$B$2:$B$1048791,0)),"")</f>
        <v/>
      </c>
      <c r="Y222" s="97" t="str">
        <f t="array" ref="Y222">IFERROR(INDEX(DFD!$L$2:$L$1048790,MATCH($Q222,DFD!$B$2:$B$1048790,0)),"")</f>
        <v/>
      </c>
      <c r="Z222" s="97">
        <f t="shared" si="4"/>
        <v>45</v>
      </c>
      <c r="AA222" s="87"/>
      <c r="AB222" s="87" t="s">
        <v>72</v>
      </c>
      <c r="AC222" s="87"/>
      <c r="AD222" s="99">
        <v>46043.0</v>
      </c>
      <c r="AE222" s="119">
        <f t="shared" si="5"/>
        <v>1</v>
      </c>
    </row>
    <row r="223" ht="15.75" customHeight="1">
      <c r="A223" s="67"/>
      <c r="B223" s="67" t="s">
        <v>355</v>
      </c>
      <c r="C223" s="81" t="s">
        <v>878</v>
      </c>
      <c r="D223" s="81" t="s">
        <v>51</v>
      </c>
      <c r="E223" s="81">
        <v>4.0</v>
      </c>
      <c r="F223" s="113">
        <v>2592.0</v>
      </c>
      <c r="G223" s="73"/>
      <c r="H223" s="83"/>
      <c r="I223" s="67" t="s">
        <v>17</v>
      </c>
      <c r="J223" s="67"/>
      <c r="K223" s="67"/>
      <c r="L223" s="67"/>
      <c r="M223" s="67" t="s">
        <v>75</v>
      </c>
      <c r="N223" s="59" t="s">
        <v>20</v>
      </c>
      <c r="O223" s="59"/>
      <c r="P223" s="59"/>
      <c r="Q223" s="59" t="s">
        <v>872</v>
      </c>
      <c r="R223" s="67" t="s">
        <v>71</v>
      </c>
      <c r="S223" s="59"/>
      <c r="T223" s="59"/>
      <c r="U223" s="77" t="str">
        <f t="array" ref="U223">IFERROR(INDEX(DFD!$D$2:$D$1048791,MATCH($Q223,DFD!$B$2:$B$1048791,0)),"")</f>
        <v/>
      </c>
      <c r="V223" s="77" t="str">
        <f t="array" ref="V223">IFERROR(INDEX(DFD!$F$2:$F$1048791,MATCH($Q223,DFD!$B$2:$B$1048791,0)),"")</f>
        <v/>
      </c>
      <c r="W223" s="84" t="str">
        <f t="array" ref="W223">IFERROR(INDEX(DFD!$E$2:$E$1048791,MATCH($Q223,DFD!$B$2:$B$1048791,0)),"")</f>
        <v/>
      </c>
      <c r="X223" s="84" t="str">
        <f t="array" ref="X223">IFERROR(INDEX(DFD!$K$2:$K$1048791,MATCH($Q223,DFD!$B$2:$B$1048791,0)),"")</f>
        <v/>
      </c>
      <c r="Y223" s="84" t="str">
        <f t="array" ref="Y223">IFERROR(INDEX(DFD!$L$2:$L$1048790,MATCH($Q223,DFD!$B$2:$B$1048790,0)),"")</f>
        <v/>
      </c>
      <c r="Z223" s="84">
        <f t="shared" si="4"/>
        <v>45</v>
      </c>
      <c r="AA223" s="59"/>
      <c r="AB223" s="59" t="s">
        <v>72</v>
      </c>
      <c r="AC223" s="59"/>
      <c r="AD223" s="85">
        <v>46043.0</v>
      </c>
      <c r="AE223" s="114">
        <f t="shared" si="5"/>
        <v>1</v>
      </c>
    </row>
    <row r="224" ht="15.75" customHeight="1">
      <c r="A224" s="92"/>
      <c r="B224" s="92" t="s">
        <v>355</v>
      </c>
      <c r="C224" s="116" t="s">
        <v>881</v>
      </c>
      <c r="D224" s="116" t="s">
        <v>51</v>
      </c>
      <c r="E224" s="116">
        <v>2.0</v>
      </c>
      <c r="F224" s="117">
        <v>980.0</v>
      </c>
      <c r="G224" s="90"/>
      <c r="H224" s="118"/>
      <c r="I224" s="92" t="s">
        <v>17</v>
      </c>
      <c r="J224" s="92"/>
      <c r="K224" s="92"/>
      <c r="L224" s="92"/>
      <c r="M224" s="92" t="s">
        <v>75</v>
      </c>
      <c r="N224" s="87" t="s">
        <v>20</v>
      </c>
      <c r="O224" s="87"/>
      <c r="P224" s="87"/>
      <c r="Q224" s="87" t="s">
        <v>872</v>
      </c>
      <c r="R224" s="92" t="s">
        <v>71</v>
      </c>
      <c r="S224" s="87"/>
      <c r="T224" s="87"/>
      <c r="U224" s="94" t="str">
        <f t="array" ref="U224">IFERROR(INDEX(DFD!$D$2:$D$1048791,MATCH($Q224,DFD!$B$2:$B$1048791,0)),"")</f>
        <v/>
      </c>
      <c r="V224" s="94" t="str">
        <f t="array" ref="V224">IFERROR(INDEX(DFD!$F$2:$F$1048791,MATCH($Q224,DFD!$B$2:$B$1048791,0)),"")</f>
        <v/>
      </c>
      <c r="W224" s="97" t="str">
        <f t="array" ref="W224">IFERROR(INDEX(DFD!$E$2:$E$1048791,MATCH($Q224,DFD!$B$2:$B$1048791,0)),"")</f>
        <v/>
      </c>
      <c r="X224" s="97" t="str">
        <f t="array" ref="X224">IFERROR(INDEX(DFD!$K$2:$K$1048791,MATCH($Q224,DFD!$B$2:$B$1048791,0)),"")</f>
        <v/>
      </c>
      <c r="Y224" s="97" t="str">
        <f t="array" ref="Y224">IFERROR(INDEX(DFD!$L$2:$L$1048790,MATCH($Q224,DFD!$B$2:$B$1048790,0)),"")</f>
        <v/>
      </c>
      <c r="Z224" s="97">
        <f t="shared" si="4"/>
        <v>45</v>
      </c>
      <c r="AA224" s="87"/>
      <c r="AB224" s="87" t="s">
        <v>72</v>
      </c>
      <c r="AC224" s="87"/>
      <c r="AD224" s="99">
        <v>46043.0</v>
      </c>
      <c r="AE224" s="119">
        <f t="shared" si="5"/>
        <v>1</v>
      </c>
    </row>
    <row r="225" ht="15.75" customHeight="1">
      <c r="A225" s="59"/>
      <c r="B225" s="59" t="s">
        <v>101</v>
      </c>
      <c r="C225" s="60" t="s">
        <v>883</v>
      </c>
      <c r="D225" s="60" t="s">
        <v>884</v>
      </c>
      <c r="E225" s="60">
        <v>2000.0</v>
      </c>
      <c r="F225" s="138">
        <v>80000.0</v>
      </c>
      <c r="G225" s="73" t="s">
        <v>53</v>
      </c>
      <c r="H225" s="74">
        <v>46266.0</v>
      </c>
      <c r="I225" s="67" t="s">
        <v>17</v>
      </c>
      <c r="J225" s="67" t="s">
        <v>54</v>
      </c>
      <c r="K225" s="67" t="s">
        <v>66</v>
      </c>
      <c r="L225" s="67" t="s">
        <v>56</v>
      </c>
      <c r="M225" s="67" t="s">
        <v>57</v>
      </c>
      <c r="N225" s="59" t="s">
        <v>20</v>
      </c>
      <c r="O225" s="59" t="s">
        <v>59</v>
      </c>
      <c r="P225" s="59"/>
      <c r="Q225" s="59" t="s">
        <v>872</v>
      </c>
      <c r="R225" s="67" t="s">
        <v>71</v>
      </c>
      <c r="S225" s="59"/>
      <c r="T225" s="59"/>
      <c r="U225" s="77" t="str">
        <f t="array" ref="U225">IFERROR(INDEX(DFD!$D$2:$D$1048791,MATCH($Q225,DFD!$B$2:$B$1048791,0)),"")</f>
        <v/>
      </c>
      <c r="V225" s="77" t="str">
        <f t="array" ref="V225">IFERROR(INDEX(DFD!$F$2:$F$1048791,MATCH($Q225,DFD!$B$2:$B$1048791,0)),"")</f>
        <v/>
      </c>
      <c r="W225" s="84" t="str">
        <f t="array" ref="W225">IFERROR(INDEX(DFD!$E$2:$E$1048791,MATCH($Q225,DFD!$B$2:$B$1048791,0)),"")</f>
        <v/>
      </c>
      <c r="X225" s="84" t="str">
        <f t="array" ref="X225">IFERROR(INDEX(DFD!$K$2:$K$1048791,MATCH($Q225,DFD!$B$2:$B$1048791,0)),"")</f>
        <v/>
      </c>
      <c r="Y225" s="84" t="str">
        <f t="array" ref="Y225">IFERROR(INDEX(DFD!$L$2:$L$1048790,MATCH($Q225,DFD!$B$2:$B$1048790,0)),"")</f>
        <v/>
      </c>
      <c r="Z225" s="84">
        <f t="shared" si="4"/>
        <v>45</v>
      </c>
      <c r="AA225" s="59"/>
      <c r="AB225" s="59" t="s">
        <v>72</v>
      </c>
      <c r="AC225" s="59"/>
      <c r="AD225" s="85">
        <v>46043.0</v>
      </c>
      <c r="AE225" s="114">
        <f t="shared" si="5"/>
        <v>1</v>
      </c>
    </row>
    <row r="226" ht="15.75" customHeight="1">
      <c r="A226" s="87"/>
      <c r="B226" s="87" t="s">
        <v>101</v>
      </c>
      <c r="C226" s="88" t="s">
        <v>888</v>
      </c>
      <c r="D226" s="88" t="s">
        <v>51</v>
      </c>
      <c r="E226" s="88">
        <v>50.0</v>
      </c>
      <c r="F226" s="139">
        <v>51000.0</v>
      </c>
      <c r="G226" s="90" t="s">
        <v>53</v>
      </c>
      <c r="H226" s="91">
        <v>46266.0</v>
      </c>
      <c r="I226" s="92" t="s">
        <v>17</v>
      </c>
      <c r="J226" s="92" t="s">
        <v>54</v>
      </c>
      <c r="K226" s="92" t="s">
        <v>66</v>
      </c>
      <c r="L226" s="92" t="s">
        <v>56</v>
      </c>
      <c r="M226" s="92" t="s">
        <v>515</v>
      </c>
      <c r="N226" s="87" t="s">
        <v>20</v>
      </c>
      <c r="O226" s="87" t="s">
        <v>59</v>
      </c>
      <c r="P226" s="87"/>
      <c r="Q226" s="87" t="s">
        <v>889</v>
      </c>
      <c r="R226" s="92" t="s">
        <v>71</v>
      </c>
      <c r="S226" s="87"/>
      <c r="T226" s="87"/>
      <c r="U226" s="94" t="str">
        <f t="array" ref="U226">IFERROR(INDEX(DFD!$D$2:$D$1048791,MATCH($Q226,DFD!$B$2:$B$1048791,0)),"")</f>
        <v/>
      </c>
      <c r="V226" s="94" t="str">
        <f t="array" ref="V226">IFERROR(INDEX(DFD!$F$2:$F$1048791,MATCH($Q226,DFD!$B$2:$B$1048791,0)),"")</f>
        <v/>
      </c>
      <c r="W226" s="97" t="str">
        <f t="array" ref="W226">IFERROR(INDEX(DFD!$E$2:$E$1048791,MATCH($Q226,DFD!$B$2:$B$1048791,0)),"")</f>
        <v/>
      </c>
      <c r="X226" s="97" t="str">
        <f t="array" ref="X226">IFERROR(INDEX(DFD!$K$2:$K$1048791,MATCH($Q226,DFD!$B$2:$B$1048791,0)),"")</f>
        <v/>
      </c>
      <c r="Y226" s="97" t="str">
        <f t="array" ref="Y226">IFERROR(INDEX(DFD!$L$2:$L$1048790,MATCH($Q226,DFD!$B$2:$B$1048790,0)),"")</f>
        <v/>
      </c>
      <c r="Z226" s="97">
        <f t="shared" si="4"/>
        <v>45</v>
      </c>
      <c r="AA226" s="87"/>
      <c r="AB226" s="87" t="s">
        <v>72</v>
      </c>
      <c r="AC226" s="87"/>
      <c r="AD226" s="99">
        <v>46043.0</v>
      </c>
      <c r="AE226" s="119">
        <f t="shared" si="5"/>
        <v>1</v>
      </c>
    </row>
    <row r="227" ht="15.75" customHeight="1">
      <c r="A227" s="59"/>
      <c r="B227" s="59" t="s">
        <v>101</v>
      </c>
      <c r="C227" s="60" t="s">
        <v>893</v>
      </c>
      <c r="D227" s="60" t="s">
        <v>51</v>
      </c>
      <c r="E227" s="60">
        <v>10.0</v>
      </c>
      <c r="F227" s="138">
        <v>60000.0</v>
      </c>
      <c r="G227" s="73" t="s">
        <v>53</v>
      </c>
      <c r="H227" s="74">
        <v>46266.0</v>
      </c>
      <c r="I227" s="67" t="s">
        <v>17</v>
      </c>
      <c r="J227" s="67" t="s">
        <v>54</v>
      </c>
      <c r="K227" s="67" t="s">
        <v>66</v>
      </c>
      <c r="L227" s="67" t="s">
        <v>67</v>
      </c>
      <c r="M227" s="67" t="s">
        <v>500</v>
      </c>
      <c r="N227" s="59" t="s">
        <v>20</v>
      </c>
      <c r="O227" s="59" t="s">
        <v>59</v>
      </c>
      <c r="P227" s="59"/>
      <c r="Q227" s="59" t="s">
        <v>889</v>
      </c>
      <c r="R227" s="67" t="s">
        <v>71</v>
      </c>
      <c r="S227" s="59"/>
      <c r="T227" s="59"/>
      <c r="U227" s="77" t="str">
        <f t="array" ref="U227">IFERROR(INDEX(DFD!$D$2:$D$1048791,MATCH($Q227,DFD!$B$2:$B$1048791,0)),"")</f>
        <v/>
      </c>
      <c r="V227" s="77" t="str">
        <f t="array" ref="V227">IFERROR(INDEX(DFD!$F$2:$F$1048791,MATCH($Q227,DFD!$B$2:$B$1048791,0)),"")</f>
        <v/>
      </c>
      <c r="W227" s="84" t="str">
        <f t="array" ref="W227">IFERROR(INDEX(DFD!$E$2:$E$1048791,MATCH($Q227,DFD!$B$2:$B$1048791,0)),"")</f>
        <v/>
      </c>
      <c r="X227" s="84" t="str">
        <f t="array" ref="X227">IFERROR(INDEX(DFD!$K$2:$K$1048791,MATCH($Q227,DFD!$B$2:$B$1048791,0)),"")</f>
        <v/>
      </c>
      <c r="Y227" s="84" t="str">
        <f t="array" ref="Y227">IFERROR(INDEX(DFD!$L$2:$L$1048790,MATCH($Q227,DFD!$B$2:$B$1048790,0)),"")</f>
        <v/>
      </c>
      <c r="Z227" s="84">
        <f t="shared" si="4"/>
        <v>45</v>
      </c>
      <c r="AA227" s="59"/>
      <c r="AB227" s="59" t="s">
        <v>72</v>
      </c>
      <c r="AC227" s="59"/>
      <c r="AD227" s="85">
        <v>46043.0</v>
      </c>
      <c r="AE227" s="114">
        <f t="shared" si="5"/>
        <v>1</v>
      </c>
    </row>
    <row r="228" ht="15.75" customHeight="1">
      <c r="A228" s="87"/>
      <c r="B228" s="87" t="s">
        <v>101</v>
      </c>
      <c r="C228" s="88" t="s">
        <v>897</v>
      </c>
      <c r="D228" s="88" t="s">
        <v>51</v>
      </c>
      <c r="E228" s="88">
        <v>15.0</v>
      </c>
      <c r="F228" s="139">
        <v>57600.0</v>
      </c>
      <c r="G228" s="90" t="s">
        <v>53</v>
      </c>
      <c r="H228" s="91">
        <v>46266.0</v>
      </c>
      <c r="I228" s="92" t="s">
        <v>17</v>
      </c>
      <c r="J228" s="92" t="s">
        <v>54</v>
      </c>
      <c r="K228" s="92" t="s">
        <v>66</v>
      </c>
      <c r="L228" s="92" t="s">
        <v>56</v>
      </c>
      <c r="M228" s="92" t="s">
        <v>57</v>
      </c>
      <c r="N228" s="87" t="s">
        <v>20</v>
      </c>
      <c r="O228" s="87" t="s">
        <v>59</v>
      </c>
      <c r="P228" s="87"/>
      <c r="Q228" s="87" t="s">
        <v>889</v>
      </c>
      <c r="R228" s="92" t="s">
        <v>71</v>
      </c>
      <c r="S228" s="87"/>
      <c r="T228" s="87"/>
      <c r="U228" s="94" t="str">
        <f t="array" ref="U228">IFERROR(INDEX(DFD!$D$2:$D$1048791,MATCH($Q228,DFD!$B$2:$B$1048791,0)),"")</f>
        <v/>
      </c>
      <c r="V228" s="94" t="str">
        <f t="array" ref="V228">IFERROR(INDEX(DFD!$F$2:$F$1048791,MATCH($Q228,DFD!$B$2:$B$1048791,0)),"")</f>
        <v/>
      </c>
      <c r="W228" s="97" t="str">
        <f t="array" ref="W228">IFERROR(INDEX(DFD!$E$2:$E$1048791,MATCH($Q228,DFD!$B$2:$B$1048791,0)),"")</f>
        <v/>
      </c>
      <c r="X228" s="97" t="str">
        <f t="array" ref="X228">IFERROR(INDEX(DFD!$K$2:$K$1048791,MATCH($Q228,DFD!$B$2:$B$1048791,0)),"")</f>
        <v/>
      </c>
      <c r="Y228" s="97" t="str">
        <f t="array" ref="Y228">IFERROR(INDEX(DFD!$L$2:$L$1048790,MATCH($Q228,DFD!$B$2:$B$1048790,0)),"")</f>
        <v/>
      </c>
      <c r="Z228" s="97">
        <f t="shared" si="4"/>
        <v>45</v>
      </c>
      <c r="AA228" s="87"/>
      <c r="AB228" s="87" t="s">
        <v>72</v>
      </c>
      <c r="AC228" s="87"/>
      <c r="AD228" s="99">
        <v>46043.0</v>
      </c>
      <c r="AE228" s="119">
        <f t="shared" si="5"/>
        <v>1</v>
      </c>
    </row>
    <row r="229" ht="15.75" customHeight="1">
      <c r="A229" s="59"/>
      <c r="B229" s="59" t="s">
        <v>101</v>
      </c>
      <c r="C229" s="60" t="s">
        <v>902</v>
      </c>
      <c r="D229" s="60" t="s">
        <v>51</v>
      </c>
      <c r="E229" s="60">
        <v>30.0</v>
      </c>
      <c r="F229" s="138">
        <v>5400.0</v>
      </c>
      <c r="G229" s="73" t="s">
        <v>53</v>
      </c>
      <c r="H229" s="74">
        <v>46204.0</v>
      </c>
      <c r="I229" s="67" t="s">
        <v>17</v>
      </c>
      <c r="J229" s="67" t="s">
        <v>54</v>
      </c>
      <c r="K229" s="67" t="s">
        <v>66</v>
      </c>
      <c r="L229" s="67" t="s">
        <v>56</v>
      </c>
      <c r="M229" s="67" t="s">
        <v>515</v>
      </c>
      <c r="N229" s="59" t="s">
        <v>20</v>
      </c>
      <c r="O229" s="59" t="s">
        <v>59</v>
      </c>
      <c r="P229" s="59"/>
      <c r="Q229" s="59" t="s">
        <v>889</v>
      </c>
      <c r="R229" s="67" t="s">
        <v>71</v>
      </c>
      <c r="S229" s="59"/>
      <c r="T229" s="59"/>
      <c r="U229" s="77" t="str">
        <f t="array" ref="U229">IFERROR(INDEX(DFD!$D$2:$D$1048791,MATCH($Q229,DFD!$B$2:$B$1048791,0)),"")</f>
        <v/>
      </c>
      <c r="V229" s="77" t="str">
        <f t="array" ref="V229">IFERROR(INDEX(DFD!$F$2:$F$1048791,MATCH($Q229,DFD!$B$2:$B$1048791,0)),"")</f>
        <v/>
      </c>
      <c r="W229" s="84" t="str">
        <f t="array" ref="W229">IFERROR(INDEX(DFD!$E$2:$E$1048791,MATCH($Q229,DFD!$B$2:$B$1048791,0)),"")</f>
        <v/>
      </c>
      <c r="X229" s="84" t="str">
        <f t="array" ref="X229">IFERROR(INDEX(DFD!$K$2:$K$1048791,MATCH($Q229,DFD!$B$2:$B$1048791,0)),"")</f>
        <v/>
      </c>
      <c r="Y229" s="84" t="str">
        <f t="array" ref="Y229">IFERROR(INDEX(DFD!$L$2:$L$1048790,MATCH($Q229,DFD!$B$2:$B$1048790,0)),"")</f>
        <v/>
      </c>
      <c r="Z229" s="84">
        <f t="shared" si="4"/>
        <v>45</v>
      </c>
      <c r="AA229" s="59"/>
      <c r="AB229" s="59" t="s">
        <v>72</v>
      </c>
      <c r="AC229" s="59"/>
      <c r="AD229" s="85">
        <v>46043.0</v>
      </c>
      <c r="AE229" s="114">
        <f t="shared" si="5"/>
        <v>1</v>
      </c>
    </row>
    <row r="230" ht="15.75" customHeight="1">
      <c r="A230" s="92"/>
      <c r="B230" s="92" t="s">
        <v>355</v>
      </c>
      <c r="C230" s="116" t="s">
        <v>906</v>
      </c>
      <c r="D230" s="116" t="s">
        <v>51</v>
      </c>
      <c r="E230" s="116">
        <v>30.0</v>
      </c>
      <c r="F230" s="117">
        <v>18000.0</v>
      </c>
      <c r="G230" s="90"/>
      <c r="H230" s="118"/>
      <c r="I230" s="92" t="s">
        <v>17</v>
      </c>
      <c r="J230" s="92"/>
      <c r="K230" s="92"/>
      <c r="L230" s="92"/>
      <c r="M230" s="92" t="s">
        <v>75</v>
      </c>
      <c r="N230" s="87" t="s">
        <v>20</v>
      </c>
      <c r="O230" s="87"/>
      <c r="P230" s="87"/>
      <c r="Q230" s="87" t="s">
        <v>907</v>
      </c>
      <c r="R230" s="92" t="s">
        <v>71</v>
      </c>
      <c r="S230" s="87"/>
      <c r="T230" s="87"/>
      <c r="U230" s="94" t="str">
        <f t="array" ref="U230">IFERROR(INDEX(DFD!$D$2:$D$1048791,MATCH($Q230,DFD!$B$2:$B$1048791,0)),"")</f>
        <v/>
      </c>
      <c r="V230" s="94" t="str">
        <f t="array" ref="V230">IFERROR(INDEX(DFD!$F$2:$F$1048791,MATCH($Q230,DFD!$B$2:$B$1048791,0)),"")</f>
        <v/>
      </c>
      <c r="W230" s="97" t="str">
        <f t="array" ref="W230">IFERROR(INDEX(DFD!$E$2:$E$1048791,MATCH($Q230,DFD!$B$2:$B$1048791,0)),"")</f>
        <v/>
      </c>
      <c r="X230" s="97" t="str">
        <f t="array" ref="X230">IFERROR(INDEX(DFD!$K$2:$K$1048791,MATCH($Q230,DFD!$B$2:$B$1048791,0)),"")</f>
        <v/>
      </c>
      <c r="Y230" s="97" t="str">
        <f t="array" ref="Y230">IFERROR(INDEX(DFD!$L$2:$L$1048790,MATCH($Q230,DFD!$B$2:$B$1048790,0)),"")</f>
        <v/>
      </c>
      <c r="Z230" s="97">
        <f t="shared" si="4"/>
        <v>45</v>
      </c>
      <c r="AA230" s="87"/>
      <c r="AB230" s="87" t="s">
        <v>72</v>
      </c>
      <c r="AC230" s="87"/>
      <c r="AD230" s="99">
        <v>46043.0</v>
      </c>
      <c r="AE230" s="119">
        <f t="shared" si="5"/>
        <v>1</v>
      </c>
    </row>
    <row r="231" ht="15.75" customHeight="1">
      <c r="A231" s="59"/>
      <c r="B231" s="59" t="s">
        <v>101</v>
      </c>
      <c r="C231" s="60" t="s">
        <v>909</v>
      </c>
      <c r="D231" s="60" t="s">
        <v>51</v>
      </c>
      <c r="E231" s="60">
        <v>40.0</v>
      </c>
      <c r="F231" s="138">
        <v>3200.0</v>
      </c>
      <c r="G231" s="73" t="s">
        <v>53</v>
      </c>
      <c r="H231" s="74">
        <v>46174.0</v>
      </c>
      <c r="I231" s="67" t="s">
        <v>17</v>
      </c>
      <c r="J231" s="67" t="s">
        <v>54</v>
      </c>
      <c r="K231" s="67" t="s">
        <v>66</v>
      </c>
      <c r="L231" s="67" t="s">
        <v>197</v>
      </c>
      <c r="M231" s="67" t="s">
        <v>448</v>
      </c>
      <c r="N231" s="59" t="s">
        <v>20</v>
      </c>
      <c r="O231" s="59" t="s">
        <v>59</v>
      </c>
      <c r="P231" s="59"/>
      <c r="Q231" s="59" t="s">
        <v>907</v>
      </c>
      <c r="R231" s="67" t="s">
        <v>71</v>
      </c>
      <c r="S231" s="59"/>
      <c r="T231" s="59"/>
      <c r="U231" s="77" t="str">
        <f t="array" ref="U231">IFERROR(INDEX(DFD!$D$2:$D$1048791,MATCH($Q231,DFD!$B$2:$B$1048791,0)),"")</f>
        <v/>
      </c>
      <c r="V231" s="77" t="str">
        <f t="array" ref="V231">IFERROR(INDEX(DFD!$F$2:$F$1048791,MATCH($Q231,DFD!$B$2:$B$1048791,0)),"")</f>
        <v/>
      </c>
      <c r="W231" s="84" t="str">
        <f t="array" ref="W231">IFERROR(INDEX(DFD!$E$2:$E$1048791,MATCH($Q231,DFD!$B$2:$B$1048791,0)),"")</f>
        <v/>
      </c>
      <c r="X231" s="84" t="str">
        <f t="array" ref="X231">IFERROR(INDEX(DFD!$K$2:$K$1048791,MATCH($Q231,DFD!$B$2:$B$1048791,0)),"")</f>
        <v/>
      </c>
      <c r="Y231" s="84" t="str">
        <f t="array" ref="Y231">IFERROR(INDEX(DFD!$L$2:$L$1048790,MATCH($Q231,DFD!$B$2:$B$1048790,0)),"")</f>
        <v/>
      </c>
      <c r="Z231" s="84">
        <f t="shared" si="4"/>
        <v>45</v>
      </c>
      <c r="AA231" s="59"/>
      <c r="AB231" s="59" t="s">
        <v>72</v>
      </c>
      <c r="AC231" s="59"/>
      <c r="AD231" s="85">
        <v>46043.0</v>
      </c>
      <c r="AE231" s="114">
        <f t="shared" si="5"/>
        <v>1</v>
      </c>
    </row>
    <row r="232" ht="15.75" customHeight="1">
      <c r="A232" s="87"/>
      <c r="B232" s="87" t="s">
        <v>101</v>
      </c>
      <c r="C232" s="88" t="s">
        <v>911</v>
      </c>
      <c r="D232" s="88" t="s">
        <v>51</v>
      </c>
      <c r="E232" s="88">
        <v>40.0</v>
      </c>
      <c r="F232" s="139">
        <v>480.0</v>
      </c>
      <c r="G232" s="90" t="s">
        <v>53</v>
      </c>
      <c r="H232" s="91">
        <v>46174.0</v>
      </c>
      <c r="I232" s="92" t="s">
        <v>17</v>
      </c>
      <c r="J232" s="92" t="s">
        <v>54</v>
      </c>
      <c r="K232" s="92" t="s">
        <v>66</v>
      </c>
      <c r="L232" s="92" t="s">
        <v>67</v>
      </c>
      <c r="M232" s="92" t="s">
        <v>132</v>
      </c>
      <c r="N232" s="87" t="s">
        <v>20</v>
      </c>
      <c r="O232" s="87" t="s">
        <v>59</v>
      </c>
      <c r="P232" s="87"/>
      <c r="Q232" s="87" t="s">
        <v>907</v>
      </c>
      <c r="R232" s="92" t="s">
        <v>71</v>
      </c>
      <c r="S232" s="87"/>
      <c r="T232" s="87"/>
      <c r="U232" s="94" t="str">
        <f t="array" ref="U232">IFERROR(INDEX(DFD!$D$2:$D$1048791,MATCH($Q232,DFD!$B$2:$B$1048791,0)),"")</f>
        <v/>
      </c>
      <c r="V232" s="94" t="str">
        <f t="array" ref="V232">IFERROR(INDEX(DFD!$F$2:$F$1048791,MATCH($Q232,DFD!$B$2:$B$1048791,0)),"")</f>
        <v/>
      </c>
      <c r="W232" s="97" t="str">
        <f t="array" ref="W232">IFERROR(INDEX(DFD!$E$2:$E$1048791,MATCH($Q232,DFD!$B$2:$B$1048791,0)),"")</f>
        <v/>
      </c>
      <c r="X232" s="97" t="str">
        <f t="array" ref="X232">IFERROR(INDEX(DFD!$K$2:$K$1048791,MATCH($Q232,DFD!$B$2:$B$1048791,0)),"")</f>
        <v/>
      </c>
      <c r="Y232" s="97" t="str">
        <f t="array" ref="Y232">IFERROR(INDEX(DFD!$L$2:$L$1048790,MATCH($Q232,DFD!$B$2:$B$1048790,0)),"")</f>
        <v/>
      </c>
      <c r="Z232" s="97">
        <f t="shared" si="4"/>
        <v>45</v>
      </c>
      <c r="AA232" s="87"/>
      <c r="AB232" s="87" t="s">
        <v>72</v>
      </c>
      <c r="AC232" s="87"/>
      <c r="AD232" s="99">
        <v>46043.0</v>
      </c>
      <c r="AE232" s="119">
        <f t="shared" si="5"/>
        <v>1</v>
      </c>
    </row>
    <row r="233" ht="15.75" customHeight="1">
      <c r="A233" s="67"/>
      <c r="B233" s="67" t="s">
        <v>355</v>
      </c>
      <c r="C233" s="81" t="s">
        <v>913</v>
      </c>
      <c r="D233" s="81" t="s">
        <v>914</v>
      </c>
      <c r="E233" s="81">
        <v>15.0</v>
      </c>
      <c r="F233" s="113">
        <v>10500.0</v>
      </c>
      <c r="G233" s="73"/>
      <c r="H233" s="74">
        <v>46266.0</v>
      </c>
      <c r="I233" s="67" t="s">
        <v>17</v>
      </c>
      <c r="J233" s="67"/>
      <c r="K233" s="67"/>
      <c r="L233" s="67"/>
      <c r="M233" s="67" t="s">
        <v>75</v>
      </c>
      <c r="N233" s="59" t="s">
        <v>20</v>
      </c>
      <c r="O233" s="59"/>
      <c r="P233" s="59"/>
      <c r="Q233" s="59" t="s">
        <v>907</v>
      </c>
      <c r="R233" s="67" t="s">
        <v>71</v>
      </c>
      <c r="S233" s="59"/>
      <c r="T233" s="59"/>
      <c r="U233" s="77" t="str">
        <f t="array" ref="U233">IFERROR(INDEX(DFD!$D$2:$D$1048791,MATCH($Q233,DFD!$B$2:$B$1048791,0)),"")</f>
        <v/>
      </c>
      <c r="V233" s="77" t="str">
        <f t="array" ref="V233">IFERROR(INDEX(DFD!$F$2:$F$1048791,MATCH($Q233,DFD!$B$2:$B$1048791,0)),"")</f>
        <v/>
      </c>
      <c r="W233" s="84" t="str">
        <f t="array" ref="W233">IFERROR(INDEX(DFD!$E$2:$E$1048791,MATCH($Q233,DFD!$B$2:$B$1048791,0)),"")</f>
        <v/>
      </c>
      <c r="X233" s="84" t="str">
        <f t="array" ref="X233">IFERROR(INDEX(DFD!$K$2:$K$1048791,MATCH($Q233,DFD!$B$2:$B$1048791,0)),"")</f>
        <v/>
      </c>
      <c r="Y233" s="84" t="str">
        <f t="array" ref="Y233">IFERROR(INDEX(DFD!$L$2:$L$1048790,MATCH($Q233,DFD!$B$2:$B$1048790,0)),"")</f>
        <v/>
      </c>
      <c r="Z233" s="84">
        <f t="shared" si="4"/>
        <v>45</v>
      </c>
      <c r="AA233" s="59"/>
      <c r="AB233" s="59" t="s">
        <v>72</v>
      </c>
      <c r="AC233" s="59"/>
      <c r="AD233" s="85">
        <v>46043.0</v>
      </c>
      <c r="AE233" s="114">
        <f t="shared" si="5"/>
        <v>1</v>
      </c>
    </row>
    <row r="234" ht="15.75" customHeight="1">
      <c r="A234" s="87"/>
      <c r="B234" s="87" t="s">
        <v>423</v>
      </c>
      <c r="C234" s="88" t="s">
        <v>917</v>
      </c>
      <c r="D234" s="88" t="s">
        <v>51</v>
      </c>
      <c r="E234" s="88">
        <v>50.0</v>
      </c>
      <c r="F234" s="139">
        <v>12040.14</v>
      </c>
      <c r="G234" s="90" t="s">
        <v>53</v>
      </c>
      <c r="H234" s="91"/>
      <c r="I234" s="92" t="s">
        <v>17</v>
      </c>
      <c r="J234" s="67" t="s">
        <v>54</v>
      </c>
      <c r="K234" s="67" t="s">
        <v>66</v>
      </c>
      <c r="L234" s="67"/>
      <c r="M234" s="92" t="s">
        <v>75</v>
      </c>
      <c r="N234" s="67" t="s">
        <v>20</v>
      </c>
      <c r="O234" s="87" t="s">
        <v>59</v>
      </c>
      <c r="P234" s="59"/>
      <c r="Q234" s="87" t="s">
        <v>918</v>
      </c>
      <c r="R234" s="92" t="s">
        <v>71</v>
      </c>
      <c r="S234" s="87"/>
      <c r="T234" s="87"/>
      <c r="U234" s="94" t="str">
        <f t="array" ref="U234">IFERROR(INDEX(DFD!$D$2:$D$1048791,MATCH($Q234,DFD!$B$2:$B$1048791,0)),"")</f>
        <v/>
      </c>
      <c r="V234" s="94" t="str">
        <f t="array" ref="V234">IFERROR(INDEX(DFD!$F$2:$F$1048791,MATCH($Q234,DFD!$B$2:$B$1048791,0)),"")</f>
        <v/>
      </c>
      <c r="W234" s="97" t="str">
        <f t="array" ref="W234">IFERROR(INDEX(DFD!$E$2:$E$1048791,MATCH($Q234,DFD!$B$2:$B$1048791,0)),"")</f>
        <v/>
      </c>
      <c r="X234" s="97" t="str">
        <f t="array" ref="X234">IFERROR(INDEX(DFD!$K$2:$K$1048791,MATCH($Q234,DFD!$B$2:$B$1048791,0)),"")</f>
        <v/>
      </c>
      <c r="Y234" s="97" t="str">
        <f t="array" ref="Y234">IFERROR(INDEX(DFD!$L$2:$L$1048790,MATCH($Q234,DFD!$B$2:$B$1048790,0)),"")</f>
        <v/>
      </c>
      <c r="Z234" s="97">
        <f t="shared" si="4"/>
        <v>45</v>
      </c>
      <c r="AA234" s="87"/>
      <c r="AB234" s="87" t="s">
        <v>72</v>
      </c>
      <c r="AC234" s="87"/>
      <c r="AD234" s="99">
        <v>46043.0</v>
      </c>
      <c r="AE234" s="119">
        <f t="shared" si="5"/>
        <v>1</v>
      </c>
    </row>
    <row r="235" ht="15.75" customHeight="1">
      <c r="A235" s="59"/>
      <c r="B235" s="59" t="s">
        <v>101</v>
      </c>
      <c r="C235" s="60" t="s">
        <v>920</v>
      </c>
      <c r="D235" s="60" t="s">
        <v>51</v>
      </c>
      <c r="E235" s="60">
        <v>4.0</v>
      </c>
      <c r="F235" s="138">
        <v>3960.0</v>
      </c>
      <c r="G235" s="73" t="s">
        <v>53</v>
      </c>
      <c r="H235" s="74">
        <v>46204.0</v>
      </c>
      <c r="I235" s="67" t="s">
        <v>17</v>
      </c>
      <c r="J235" s="67" t="s">
        <v>54</v>
      </c>
      <c r="K235" s="67" t="s">
        <v>66</v>
      </c>
      <c r="L235" s="67" t="s">
        <v>56</v>
      </c>
      <c r="M235" s="67" t="s">
        <v>132</v>
      </c>
      <c r="N235" s="59" t="s">
        <v>20</v>
      </c>
      <c r="O235" s="59" t="s">
        <v>59</v>
      </c>
      <c r="P235" s="59"/>
      <c r="Q235" s="59" t="s">
        <v>918</v>
      </c>
      <c r="R235" s="67" t="s">
        <v>71</v>
      </c>
      <c r="S235" s="59"/>
      <c r="T235" s="59"/>
      <c r="U235" s="77" t="str">
        <f t="array" ref="U235">IFERROR(INDEX(DFD!$D$2:$D$1048791,MATCH($Q235,DFD!$B$2:$B$1048791,0)),"")</f>
        <v/>
      </c>
      <c r="V235" s="77" t="str">
        <f t="array" ref="V235">IFERROR(INDEX(DFD!$F$2:$F$1048791,MATCH($Q235,DFD!$B$2:$B$1048791,0)),"")</f>
        <v/>
      </c>
      <c r="W235" s="84" t="str">
        <f t="array" ref="W235">IFERROR(INDEX(DFD!$E$2:$E$1048791,MATCH($Q235,DFD!$B$2:$B$1048791,0)),"")</f>
        <v/>
      </c>
      <c r="X235" s="84" t="str">
        <f t="array" ref="X235">IFERROR(INDEX(DFD!$K$2:$K$1048791,MATCH($Q235,DFD!$B$2:$B$1048791,0)),"")</f>
        <v/>
      </c>
      <c r="Y235" s="84" t="str">
        <f t="array" ref="Y235">IFERROR(INDEX(DFD!$L$2:$L$1048790,MATCH($Q235,DFD!$B$2:$B$1048790,0)),"")</f>
        <v/>
      </c>
      <c r="Z235" s="84">
        <f t="shared" si="4"/>
        <v>45</v>
      </c>
      <c r="AA235" s="59"/>
      <c r="AB235" s="59" t="s">
        <v>72</v>
      </c>
      <c r="AC235" s="59"/>
      <c r="AD235" s="85">
        <v>46043.0</v>
      </c>
      <c r="AE235" s="114">
        <f t="shared" si="5"/>
        <v>1</v>
      </c>
    </row>
    <row r="236" ht="15.75" customHeight="1">
      <c r="A236" s="87"/>
      <c r="B236" s="87" t="s">
        <v>101</v>
      </c>
      <c r="C236" s="88" t="s">
        <v>922</v>
      </c>
      <c r="D236" s="88" t="s">
        <v>51</v>
      </c>
      <c r="E236" s="88">
        <v>20.0</v>
      </c>
      <c r="F236" s="139">
        <v>4440.0</v>
      </c>
      <c r="G236" s="90" t="s">
        <v>53</v>
      </c>
      <c r="H236" s="91">
        <v>46204.0</v>
      </c>
      <c r="I236" s="92" t="s">
        <v>17</v>
      </c>
      <c r="J236" s="92" t="s">
        <v>54</v>
      </c>
      <c r="K236" s="92" t="s">
        <v>66</v>
      </c>
      <c r="L236" s="92" t="s">
        <v>67</v>
      </c>
      <c r="M236" s="92" t="s">
        <v>500</v>
      </c>
      <c r="N236" s="87" t="s">
        <v>20</v>
      </c>
      <c r="O236" s="87" t="s">
        <v>59</v>
      </c>
      <c r="P236" s="87"/>
      <c r="Q236" s="87" t="s">
        <v>923</v>
      </c>
      <c r="R236" s="92" t="s">
        <v>269</v>
      </c>
      <c r="S236" s="87"/>
      <c r="T236" s="87"/>
      <c r="U236" s="94" t="str">
        <f t="array" ref="U236">IFERROR(INDEX(DFD!$D$2:$D$1048791,MATCH($Q236,DFD!$B$2:$B$1048791,0)),"")</f>
        <v/>
      </c>
      <c r="V236" s="94" t="str">
        <f t="array" ref="V236">IFERROR(INDEX(DFD!$F$2:$F$1048791,MATCH($Q236,DFD!$B$2:$B$1048791,0)),"")</f>
        <v/>
      </c>
      <c r="W236" s="97" t="str">
        <f t="array" ref="W236">IFERROR(INDEX(DFD!$E$2:$E$1048791,MATCH($Q236,DFD!$B$2:$B$1048791,0)),"")</f>
        <v/>
      </c>
      <c r="X236" s="97" t="str">
        <f t="array" ref="X236">IFERROR(INDEX(DFD!$K$2:$K$1048791,MATCH($Q236,DFD!$B$2:$B$1048791,0)),"")</f>
        <v/>
      </c>
      <c r="Y236" s="97" t="str">
        <f t="array" ref="Y236">IFERROR(INDEX(DFD!$L$2:$L$1048790,MATCH($Q236,DFD!$B$2:$B$1048790,0)),"")</f>
        <v/>
      </c>
      <c r="Z236" s="97">
        <f t="shared" si="4"/>
        <v>45</v>
      </c>
      <c r="AA236" s="87"/>
      <c r="AB236" s="87" t="s">
        <v>72</v>
      </c>
      <c r="AC236" s="87"/>
      <c r="AD236" s="99">
        <v>46043.0</v>
      </c>
      <c r="AE236" s="119">
        <f t="shared" si="5"/>
        <v>1</v>
      </c>
    </row>
    <row r="237" ht="15.75" customHeight="1">
      <c r="A237" s="59"/>
      <c r="B237" s="59" t="s">
        <v>101</v>
      </c>
      <c r="C237" s="60" t="s">
        <v>925</v>
      </c>
      <c r="D237" s="60" t="s">
        <v>51</v>
      </c>
      <c r="E237" s="60">
        <v>2.0</v>
      </c>
      <c r="F237" s="138">
        <v>800.0</v>
      </c>
      <c r="G237" s="73" t="s">
        <v>53</v>
      </c>
      <c r="H237" s="74">
        <v>46174.0</v>
      </c>
      <c r="I237" s="67" t="s">
        <v>17</v>
      </c>
      <c r="J237" s="67" t="s">
        <v>54</v>
      </c>
      <c r="K237" s="67" t="s">
        <v>66</v>
      </c>
      <c r="L237" s="67" t="s">
        <v>56</v>
      </c>
      <c r="M237" s="67" t="s">
        <v>515</v>
      </c>
      <c r="N237" s="59" t="s">
        <v>20</v>
      </c>
      <c r="O237" s="59" t="s">
        <v>59</v>
      </c>
      <c r="P237" s="59"/>
      <c r="Q237" s="59" t="s">
        <v>923</v>
      </c>
      <c r="R237" s="67" t="s">
        <v>269</v>
      </c>
      <c r="S237" s="59"/>
      <c r="T237" s="59"/>
      <c r="U237" s="77" t="str">
        <f t="array" ref="U237">IFERROR(INDEX(DFD!$D$2:$D$1048791,MATCH($Q237,DFD!$B$2:$B$1048791,0)),"")</f>
        <v/>
      </c>
      <c r="V237" s="77" t="str">
        <f t="array" ref="V237">IFERROR(INDEX(DFD!$F$2:$F$1048791,MATCH($Q237,DFD!$B$2:$B$1048791,0)),"")</f>
        <v/>
      </c>
      <c r="W237" s="84" t="str">
        <f t="array" ref="W237">IFERROR(INDEX(DFD!$E$2:$E$1048791,MATCH($Q237,DFD!$B$2:$B$1048791,0)),"")</f>
        <v/>
      </c>
      <c r="X237" s="84" t="str">
        <f t="array" ref="X237">IFERROR(INDEX(DFD!$K$2:$K$1048791,MATCH($Q237,DFD!$B$2:$B$1048791,0)),"")</f>
        <v/>
      </c>
      <c r="Y237" s="84" t="str">
        <f t="array" ref="Y237">IFERROR(INDEX(DFD!$L$2:$L$1048790,MATCH($Q237,DFD!$B$2:$B$1048790,0)),"")</f>
        <v/>
      </c>
      <c r="Z237" s="84">
        <f t="shared" si="4"/>
        <v>45</v>
      </c>
      <c r="AA237" s="59"/>
      <c r="AB237" s="59" t="s">
        <v>72</v>
      </c>
      <c r="AC237" s="59"/>
      <c r="AD237" s="85">
        <v>46043.0</v>
      </c>
      <c r="AE237" s="114">
        <f t="shared" si="5"/>
        <v>1</v>
      </c>
    </row>
    <row r="238" ht="15.75" customHeight="1">
      <c r="A238" s="87"/>
      <c r="B238" s="87" t="s">
        <v>101</v>
      </c>
      <c r="C238" s="88" t="s">
        <v>932</v>
      </c>
      <c r="D238" s="88" t="s">
        <v>51</v>
      </c>
      <c r="E238" s="88">
        <v>15.0</v>
      </c>
      <c r="F238" s="139">
        <v>3240.0</v>
      </c>
      <c r="G238" s="90" t="s">
        <v>53</v>
      </c>
      <c r="H238" s="91">
        <v>46174.0</v>
      </c>
      <c r="I238" s="92" t="s">
        <v>17</v>
      </c>
      <c r="J238" s="92" t="s">
        <v>54</v>
      </c>
      <c r="K238" s="92" t="s">
        <v>66</v>
      </c>
      <c r="L238" s="92" t="s">
        <v>56</v>
      </c>
      <c r="M238" s="92" t="s">
        <v>515</v>
      </c>
      <c r="N238" s="87" t="s">
        <v>20</v>
      </c>
      <c r="O238" s="87" t="s">
        <v>59</v>
      </c>
      <c r="P238" s="87"/>
      <c r="Q238" s="87" t="s">
        <v>923</v>
      </c>
      <c r="R238" s="92" t="s">
        <v>269</v>
      </c>
      <c r="S238" s="87"/>
      <c r="T238" s="87"/>
      <c r="U238" s="94" t="str">
        <f t="array" ref="U238">IFERROR(INDEX(DFD!$D$2:$D$1048791,MATCH($Q238,DFD!$B$2:$B$1048791,0)),"")</f>
        <v/>
      </c>
      <c r="V238" s="94" t="str">
        <f t="array" ref="V238">IFERROR(INDEX(DFD!$F$2:$F$1048791,MATCH($Q238,DFD!$B$2:$B$1048791,0)),"")</f>
        <v/>
      </c>
      <c r="W238" s="97" t="str">
        <f t="array" ref="W238">IFERROR(INDEX(DFD!$E$2:$E$1048791,MATCH($Q238,DFD!$B$2:$B$1048791,0)),"")</f>
        <v/>
      </c>
      <c r="X238" s="97" t="str">
        <f t="array" ref="X238">IFERROR(INDEX(DFD!$K$2:$K$1048791,MATCH($Q238,DFD!$B$2:$B$1048791,0)),"")</f>
        <v/>
      </c>
      <c r="Y238" s="97" t="str">
        <f t="array" ref="Y238">IFERROR(INDEX(DFD!$L$2:$L$1048790,MATCH($Q238,DFD!$B$2:$B$1048790,0)),"")</f>
        <v/>
      </c>
      <c r="Z238" s="97">
        <f t="shared" si="4"/>
        <v>45</v>
      </c>
      <c r="AA238" s="87"/>
      <c r="AB238" s="87" t="s">
        <v>72</v>
      </c>
      <c r="AC238" s="87"/>
      <c r="AD238" s="99">
        <v>46043.0</v>
      </c>
      <c r="AE238" s="119">
        <f t="shared" si="5"/>
        <v>1</v>
      </c>
    </row>
    <row r="239" ht="15.75" customHeight="1">
      <c r="A239" s="59"/>
      <c r="B239" s="59" t="s">
        <v>101</v>
      </c>
      <c r="C239" s="60" t="s">
        <v>937</v>
      </c>
      <c r="D239" s="60" t="s">
        <v>51</v>
      </c>
      <c r="E239" s="60">
        <v>15.0</v>
      </c>
      <c r="F239" s="138">
        <v>2775.0</v>
      </c>
      <c r="G239" s="73" t="s">
        <v>53</v>
      </c>
      <c r="H239" s="74">
        <v>46174.0</v>
      </c>
      <c r="I239" s="67" t="s">
        <v>17</v>
      </c>
      <c r="J239" s="67" t="s">
        <v>54</v>
      </c>
      <c r="K239" s="67" t="s">
        <v>66</v>
      </c>
      <c r="L239" s="67" t="s">
        <v>56</v>
      </c>
      <c r="M239" s="67" t="s">
        <v>515</v>
      </c>
      <c r="N239" s="59" t="s">
        <v>20</v>
      </c>
      <c r="O239" s="59" t="s">
        <v>59</v>
      </c>
      <c r="P239" s="59"/>
      <c r="Q239" s="59" t="s">
        <v>923</v>
      </c>
      <c r="R239" s="67" t="s">
        <v>269</v>
      </c>
      <c r="S239" s="59"/>
      <c r="T239" s="59"/>
      <c r="U239" s="77" t="str">
        <f t="array" ref="U239">IFERROR(INDEX(DFD!$D$2:$D$1048791,MATCH($Q239,DFD!$B$2:$B$1048791,0)),"")</f>
        <v/>
      </c>
      <c r="V239" s="77" t="str">
        <f t="array" ref="V239">IFERROR(INDEX(DFD!$F$2:$F$1048791,MATCH($Q239,DFD!$B$2:$B$1048791,0)),"")</f>
        <v/>
      </c>
      <c r="W239" s="84" t="str">
        <f t="array" ref="W239">IFERROR(INDEX(DFD!$E$2:$E$1048791,MATCH($Q239,DFD!$B$2:$B$1048791,0)),"")</f>
        <v/>
      </c>
      <c r="X239" s="84" t="str">
        <f t="array" ref="X239">IFERROR(INDEX(DFD!$K$2:$K$1048791,MATCH($Q239,DFD!$B$2:$B$1048791,0)),"")</f>
        <v/>
      </c>
      <c r="Y239" s="84" t="str">
        <f t="array" ref="Y239">IFERROR(INDEX(DFD!$L$2:$L$1048790,MATCH($Q239,DFD!$B$2:$B$1048790,0)),"")</f>
        <v/>
      </c>
      <c r="Z239" s="84">
        <f t="shared" si="4"/>
        <v>45</v>
      </c>
      <c r="AA239" s="59"/>
      <c r="AB239" s="59" t="s">
        <v>72</v>
      </c>
      <c r="AC239" s="59"/>
      <c r="AD239" s="85">
        <v>46043.0</v>
      </c>
      <c r="AE239" s="114">
        <f t="shared" si="5"/>
        <v>1</v>
      </c>
    </row>
    <row r="240" ht="15.75" customHeight="1">
      <c r="A240" s="87"/>
      <c r="B240" s="87" t="s">
        <v>101</v>
      </c>
      <c r="C240" s="88" t="s">
        <v>941</v>
      </c>
      <c r="D240" s="88" t="s">
        <v>51</v>
      </c>
      <c r="E240" s="88">
        <v>15.0</v>
      </c>
      <c r="F240" s="139">
        <v>1200.0</v>
      </c>
      <c r="G240" s="90" t="s">
        <v>53</v>
      </c>
      <c r="H240" s="91">
        <v>46174.0</v>
      </c>
      <c r="I240" s="92" t="s">
        <v>17</v>
      </c>
      <c r="J240" s="92" t="s">
        <v>54</v>
      </c>
      <c r="K240" s="92" t="s">
        <v>66</v>
      </c>
      <c r="L240" s="92" t="s">
        <v>56</v>
      </c>
      <c r="M240" s="92" t="s">
        <v>515</v>
      </c>
      <c r="N240" s="87" t="s">
        <v>20</v>
      </c>
      <c r="O240" s="87" t="s">
        <v>59</v>
      </c>
      <c r="P240" s="87"/>
      <c r="Q240" s="87" t="s">
        <v>923</v>
      </c>
      <c r="R240" s="92" t="s">
        <v>269</v>
      </c>
      <c r="S240" s="87"/>
      <c r="T240" s="87"/>
      <c r="U240" s="94" t="str">
        <f t="array" ref="U240">IFERROR(INDEX(DFD!$D$2:$D$1048791,MATCH($Q240,DFD!$B$2:$B$1048791,0)),"")</f>
        <v/>
      </c>
      <c r="V240" s="94" t="str">
        <f t="array" ref="V240">IFERROR(INDEX(DFD!$F$2:$F$1048791,MATCH($Q240,DFD!$B$2:$B$1048791,0)),"")</f>
        <v/>
      </c>
      <c r="W240" s="97" t="str">
        <f t="array" ref="W240">IFERROR(INDEX(DFD!$E$2:$E$1048791,MATCH($Q240,DFD!$B$2:$B$1048791,0)),"")</f>
        <v/>
      </c>
      <c r="X240" s="97" t="str">
        <f t="array" ref="X240">IFERROR(INDEX(DFD!$K$2:$K$1048791,MATCH($Q240,DFD!$B$2:$B$1048791,0)),"")</f>
        <v/>
      </c>
      <c r="Y240" s="97" t="str">
        <f t="array" ref="Y240">IFERROR(INDEX(DFD!$L$2:$L$1048790,MATCH($Q240,DFD!$B$2:$B$1048790,0)),"")</f>
        <v/>
      </c>
      <c r="Z240" s="97">
        <f t="shared" si="4"/>
        <v>45</v>
      </c>
      <c r="AA240" s="87"/>
      <c r="AB240" s="87" t="s">
        <v>72</v>
      </c>
      <c r="AC240" s="87"/>
      <c r="AD240" s="99">
        <v>46043.0</v>
      </c>
      <c r="AE240" s="119">
        <f t="shared" si="5"/>
        <v>1</v>
      </c>
    </row>
    <row r="241" ht="15.75" customHeight="1">
      <c r="A241" s="59"/>
      <c r="B241" s="59" t="s">
        <v>101</v>
      </c>
      <c r="C241" s="60" t="s">
        <v>944</v>
      </c>
      <c r="D241" s="60" t="s">
        <v>945</v>
      </c>
      <c r="E241" s="60">
        <v>20.0</v>
      </c>
      <c r="F241" s="138">
        <v>480.0</v>
      </c>
      <c r="G241" s="73" t="s">
        <v>53</v>
      </c>
      <c r="H241" s="74">
        <v>46174.0</v>
      </c>
      <c r="I241" s="67" t="s">
        <v>17</v>
      </c>
      <c r="J241" s="67" t="s">
        <v>54</v>
      </c>
      <c r="K241" s="67" t="s">
        <v>66</v>
      </c>
      <c r="L241" s="67" t="s">
        <v>56</v>
      </c>
      <c r="M241" s="67" t="s">
        <v>838</v>
      </c>
      <c r="N241" s="59" t="s">
        <v>20</v>
      </c>
      <c r="O241" s="59" t="s">
        <v>59</v>
      </c>
      <c r="P241" s="59"/>
      <c r="Q241" s="59" t="s">
        <v>923</v>
      </c>
      <c r="R241" s="67" t="s">
        <v>269</v>
      </c>
      <c r="S241" s="59"/>
      <c r="T241" s="59"/>
      <c r="U241" s="77" t="str">
        <f t="array" ref="U241">IFERROR(INDEX(DFD!$D$2:$D$1048791,MATCH($Q241,DFD!$B$2:$B$1048791,0)),"")</f>
        <v/>
      </c>
      <c r="V241" s="77" t="str">
        <f t="array" ref="V241">IFERROR(INDEX(DFD!$F$2:$F$1048791,MATCH($Q241,DFD!$B$2:$B$1048791,0)),"")</f>
        <v/>
      </c>
      <c r="W241" s="84" t="str">
        <f t="array" ref="W241">IFERROR(INDEX(DFD!$E$2:$E$1048791,MATCH($Q241,DFD!$B$2:$B$1048791,0)),"")</f>
        <v/>
      </c>
      <c r="X241" s="84" t="str">
        <f t="array" ref="X241">IFERROR(INDEX(DFD!$K$2:$K$1048791,MATCH($Q241,DFD!$B$2:$B$1048791,0)),"")</f>
        <v/>
      </c>
      <c r="Y241" s="84" t="str">
        <f t="array" ref="Y241">IFERROR(INDEX(DFD!$L$2:$L$1048790,MATCH($Q241,DFD!$B$2:$B$1048790,0)),"")</f>
        <v/>
      </c>
      <c r="Z241" s="84">
        <f t="shared" si="4"/>
        <v>45</v>
      </c>
      <c r="AA241" s="59"/>
      <c r="AB241" s="59" t="s">
        <v>72</v>
      </c>
      <c r="AC241" s="59"/>
      <c r="AD241" s="85">
        <v>46043.0</v>
      </c>
      <c r="AE241" s="114">
        <f t="shared" si="5"/>
        <v>1</v>
      </c>
    </row>
    <row r="242" ht="15.75" customHeight="1">
      <c r="A242" s="92"/>
      <c r="B242" s="92" t="s">
        <v>355</v>
      </c>
      <c r="C242" s="116" t="s">
        <v>950</v>
      </c>
      <c r="D242" s="116" t="s">
        <v>51</v>
      </c>
      <c r="E242" s="116">
        <v>83.0</v>
      </c>
      <c r="F242" s="117">
        <v>4067.0</v>
      </c>
      <c r="G242" s="90"/>
      <c r="H242" s="118"/>
      <c r="I242" s="92" t="s">
        <v>17</v>
      </c>
      <c r="J242" s="92"/>
      <c r="K242" s="92"/>
      <c r="L242" s="92"/>
      <c r="M242" s="92" t="s">
        <v>75</v>
      </c>
      <c r="N242" s="87" t="s">
        <v>20</v>
      </c>
      <c r="O242" s="87"/>
      <c r="P242" s="87"/>
      <c r="Q242" s="87" t="s">
        <v>951</v>
      </c>
      <c r="R242" s="92" t="s">
        <v>71</v>
      </c>
      <c r="S242" s="87"/>
      <c r="T242" s="87"/>
      <c r="U242" s="94" t="str">
        <f t="array" ref="U242">IFERROR(INDEX(DFD!$D$2:$D$1048791,MATCH($Q242,DFD!$B$2:$B$1048791,0)),"")</f>
        <v/>
      </c>
      <c r="V242" s="94" t="str">
        <f t="array" ref="V242">IFERROR(INDEX(DFD!$F$2:$F$1048791,MATCH($Q242,DFD!$B$2:$B$1048791,0)),"")</f>
        <v/>
      </c>
      <c r="W242" s="97" t="str">
        <f t="array" ref="W242">IFERROR(INDEX(DFD!$E$2:$E$1048791,MATCH($Q242,DFD!$B$2:$B$1048791,0)),"")</f>
        <v/>
      </c>
      <c r="X242" s="97" t="str">
        <f t="array" ref="X242">IFERROR(INDEX(DFD!$K$2:$K$1048791,MATCH($Q242,DFD!$B$2:$B$1048791,0)),"")</f>
        <v/>
      </c>
      <c r="Y242" s="97" t="str">
        <f t="array" ref="Y242">IFERROR(INDEX(DFD!$L$2:$L$1048790,MATCH($Q242,DFD!$B$2:$B$1048790,0)),"")</f>
        <v/>
      </c>
      <c r="Z242" s="97">
        <f t="shared" si="4"/>
        <v>45</v>
      </c>
      <c r="AA242" s="87"/>
      <c r="AB242" s="87" t="s">
        <v>72</v>
      </c>
      <c r="AC242" s="87"/>
      <c r="AD242" s="99">
        <v>46043.0</v>
      </c>
      <c r="AE242" s="119">
        <f t="shared" si="5"/>
        <v>1</v>
      </c>
    </row>
    <row r="243" ht="15.75" customHeight="1">
      <c r="A243" s="67"/>
      <c r="B243" s="67" t="s">
        <v>355</v>
      </c>
      <c r="C243" s="81" t="s">
        <v>954</v>
      </c>
      <c r="D243" s="81" t="s">
        <v>51</v>
      </c>
      <c r="E243" s="81">
        <v>190.0</v>
      </c>
      <c r="F243" s="113">
        <v>5700.0</v>
      </c>
      <c r="G243" s="73"/>
      <c r="H243" s="83"/>
      <c r="I243" s="67" t="s">
        <v>17</v>
      </c>
      <c r="J243" s="67"/>
      <c r="K243" s="67"/>
      <c r="L243" s="67"/>
      <c r="M243" s="67" t="s">
        <v>75</v>
      </c>
      <c r="N243" s="59" t="s">
        <v>20</v>
      </c>
      <c r="O243" s="59"/>
      <c r="P243" s="59"/>
      <c r="Q243" s="59" t="s">
        <v>951</v>
      </c>
      <c r="R243" s="67" t="s">
        <v>503</v>
      </c>
      <c r="S243" s="59"/>
      <c r="T243" s="59"/>
      <c r="U243" s="77" t="str">
        <f t="array" ref="U243">IFERROR(INDEX(DFD!$D$2:$D$1048791,MATCH($Q243,DFD!$B$2:$B$1048791,0)),"")</f>
        <v/>
      </c>
      <c r="V243" s="77" t="str">
        <f t="array" ref="V243">IFERROR(INDEX(DFD!$F$2:$F$1048791,MATCH($Q243,DFD!$B$2:$B$1048791,0)),"")</f>
        <v/>
      </c>
      <c r="W243" s="84" t="str">
        <f t="array" ref="W243">IFERROR(INDEX(DFD!$E$2:$E$1048791,MATCH($Q243,DFD!$B$2:$B$1048791,0)),"")</f>
        <v/>
      </c>
      <c r="X243" s="84" t="str">
        <f t="array" ref="X243">IFERROR(INDEX(DFD!$K$2:$K$1048791,MATCH($Q243,DFD!$B$2:$B$1048791,0)),"")</f>
        <v/>
      </c>
      <c r="Y243" s="84" t="str">
        <f t="array" ref="Y243">IFERROR(INDEX(DFD!$L$2:$L$1048790,MATCH($Q243,DFD!$B$2:$B$1048790,0)),"")</f>
        <v/>
      </c>
      <c r="Z243" s="84">
        <f t="shared" si="4"/>
        <v>45</v>
      </c>
      <c r="AA243" s="59"/>
      <c r="AB243" s="59" t="s">
        <v>72</v>
      </c>
      <c r="AC243" s="59"/>
      <c r="AD243" s="85">
        <v>46043.0</v>
      </c>
      <c r="AE243" s="114">
        <f t="shared" si="5"/>
        <v>1</v>
      </c>
    </row>
    <row r="244" ht="15.75" customHeight="1">
      <c r="A244" s="87"/>
      <c r="B244" s="87" t="s">
        <v>101</v>
      </c>
      <c r="C244" s="88" t="s">
        <v>741</v>
      </c>
      <c r="D244" s="88" t="s">
        <v>742</v>
      </c>
      <c r="E244" s="88">
        <v>20.0</v>
      </c>
      <c r="F244" s="139">
        <v>6000.0</v>
      </c>
      <c r="G244" s="90" t="s">
        <v>53</v>
      </c>
      <c r="H244" s="91">
        <v>46235.0</v>
      </c>
      <c r="I244" s="92" t="s">
        <v>17</v>
      </c>
      <c r="J244" s="92" t="s">
        <v>54</v>
      </c>
      <c r="K244" s="92" t="s">
        <v>66</v>
      </c>
      <c r="L244" s="92" t="s">
        <v>56</v>
      </c>
      <c r="M244" s="92" t="s">
        <v>448</v>
      </c>
      <c r="N244" s="87" t="s">
        <v>20</v>
      </c>
      <c r="O244" s="87" t="s">
        <v>59</v>
      </c>
      <c r="P244" s="87"/>
      <c r="Q244" s="87" t="s">
        <v>951</v>
      </c>
      <c r="R244" s="92" t="s">
        <v>114</v>
      </c>
      <c r="S244" s="87"/>
      <c r="T244" s="87"/>
      <c r="U244" s="94" t="str">
        <f t="array" ref="U244">IFERROR(INDEX(DFD!$D$2:$D$1048791,MATCH($Q244,DFD!$B$2:$B$1048791,0)),"")</f>
        <v/>
      </c>
      <c r="V244" s="94" t="str">
        <f t="array" ref="V244">IFERROR(INDEX(DFD!$F$2:$F$1048791,MATCH($Q244,DFD!$B$2:$B$1048791,0)),"")</f>
        <v/>
      </c>
      <c r="W244" s="97" t="str">
        <f t="array" ref="W244">IFERROR(INDEX(DFD!$E$2:$E$1048791,MATCH($Q244,DFD!$B$2:$B$1048791,0)),"")</f>
        <v/>
      </c>
      <c r="X244" s="97" t="str">
        <f t="array" ref="X244">IFERROR(INDEX(DFD!$K$2:$K$1048791,MATCH($Q244,DFD!$B$2:$B$1048791,0)),"")</f>
        <v/>
      </c>
      <c r="Y244" s="97" t="str">
        <f t="array" ref="Y244">IFERROR(INDEX(DFD!$L$2:$L$1048790,MATCH($Q244,DFD!$B$2:$B$1048790,0)),"")</f>
        <v/>
      </c>
      <c r="Z244" s="97">
        <f t="shared" si="4"/>
        <v>45</v>
      </c>
      <c r="AA244" s="87"/>
      <c r="AB244" s="87" t="s">
        <v>72</v>
      </c>
      <c r="AC244" s="87"/>
      <c r="AD244" s="99">
        <v>46043.0</v>
      </c>
      <c r="AE244" s="119">
        <f t="shared" si="5"/>
        <v>1</v>
      </c>
    </row>
    <row r="245" ht="15.75" customHeight="1">
      <c r="A245" s="67"/>
      <c r="B245" s="67" t="s">
        <v>109</v>
      </c>
      <c r="C245" s="81" t="s">
        <v>957</v>
      </c>
      <c r="D245" s="81" t="s">
        <v>51</v>
      </c>
      <c r="E245" s="81">
        <v>10.0</v>
      </c>
      <c r="F245" s="113">
        <v>14000.0</v>
      </c>
      <c r="G245" s="73" t="s">
        <v>53</v>
      </c>
      <c r="H245" s="83">
        <v>46235.0</v>
      </c>
      <c r="I245" s="67" t="s">
        <v>17</v>
      </c>
      <c r="J245" s="67" t="s">
        <v>54</v>
      </c>
      <c r="K245" s="67" t="s">
        <v>83</v>
      </c>
      <c r="L245" s="67" t="s">
        <v>56</v>
      </c>
      <c r="M245" s="67" t="s">
        <v>84</v>
      </c>
      <c r="N245" s="67" t="s">
        <v>20</v>
      </c>
      <c r="O245" s="59" t="s">
        <v>59</v>
      </c>
      <c r="P245" s="59"/>
      <c r="Q245" s="59" t="s">
        <v>958</v>
      </c>
      <c r="R245" s="67" t="s">
        <v>114</v>
      </c>
      <c r="S245" s="59"/>
      <c r="T245" s="59"/>
      <c r="U245" s="77" t="str">
        <f t="array" ref="U245">IFERROR(INDEX(DFD!$D$2:$D$1048791,MATCH($Q245,DFD!$B$2:$B$1048791,0)),"")</f>
        <v/>
      </c>
      <c r="V245" s="77" t="str">
        <f t="array" ref="V245">IFERROR(INDEX(DFD!$F$2:$F$1048791,MATCH($Q245,DFD!$B$2:$B$1048791,0)),"")</f>
        <v/>
      </c>
      <c r="W245" s="84" t="str">
        <f t="array" ref="W245">IFERROR(INDEX(DFD!$E$2:$E$1048791,MATCH($Q245,DFD!$B$2:$B$1048791,0)),"")</f>
        <v/>
      </c>
      <c r="X245" s="84" t="str">
        <f t="array" ref="X245">IFERROR(INDEX(DFD!$K$2:$K$1048791,MATCH($Q245,DFD!$B$2:$B$1048791,0)),"")</f>
        <v/>
      </c>
      <c r="Y245" s="84" t="str">
        <f t="array" ref="Y245">IFERROR(INDEX(DFD!$L$2:$L$1048790,MATCH($Q245,DFD!$B$2:$B$1048790,0)),"")</f>
        <v/>
      </c>
      <c r="Z245" s="84">
        <f t="shared" si="4"/>
        <v>45</v>
      </c>
      <c r="AA245" s="59"/>
      <c r="AB245" s="59" t="s">
        <v>72</v>
      </c>
      <c r="AC245" s="59"/>
      <c r="AD245" s="85">
        <v>46043.0</v>
      </c>
      <c r="AE245" s="114">
        <f t="shared" si="5"/>
        <v>1</v>
      </c>
    </row>
    <row r="246" ht="15.75" customHeight="1">
      <c r="A246" s="92"/>
      <c r="B246" s="92" t="s">
        <v>105</v>
      </c>
      <c r="C246" s="116" t="s">
        <v>957</v>
      </c>
      <c r="D246" s="116" t="s">
        <v>51</v>
      </c>
      <c r="E246" s="116">
        <v>4.0</v>
      </c>
      <c r="F246" s="117">
        <v>5600.0</v>
      </c>
      <c r="G246" s="90" t="s">
        <v>53</v>
      </c>
      <c r="H246" s="118">
        <v>46204.0</v>
      </c>
      <c r="I246" s="92" t="s">
        <v>17</v>
      </c>
      <c r="J246" s="92" t="s">
        <v>54</v>
      </c>
      <c r="K246" s="92" t="s">
        <v>83</v>
      </c>
      <c r="L246" s="92" t="s">
        <v>56</v>
      </c>
      <c r="M246" s="92" t="s">
        <v>84</v>
      </c>
      <c r="N246" s="92" t="s">
        <v>20</v>
      </c>
      <c r="O246" s="87" t="s">
        <v>59</v>
      </c>
      <c r="P246" s="87"/>
      <c r="Q246" s="87" t="s">
        <v>958</v>
      </c>
      <c r="R246" s="92" t="s">
        <v>114</v>
      </c>
      <c r="S246" s="87"/>
      <c r="T246" s="87"/>
      <c r="U246" s="94" t="str">
        <f t="array" ref="U246">IFERROR(INDEX(DFD!$D$2:$D$1048791,MATCH($Q246,DFD!$B$2:$B$1048791,0)),"")</f>
        <v/>
      </c>
      <c r="V246" s="94" t="str">
        <f t="array" ref="V246">IFERROR(INDEX(DFD!$F$2:$F$1048791,MATCH($Q246,DFD!$B$2:$B$1048791,0)),"")</f>
        <v/>
      </c>
      <c r="W246" s="97" t="str">
        <f t="array" ref="W246">IFERROR(INDEX(DFD!$E$2:$E$1048791,MATCH($Q246,DFD!$B$2:$B$1048791,0)),"")</f>
        <v/>
      </c>
      <c r="X246" s="97" t="str">
        <f t="array" ref="X246">IFERROR(INDEX(DFD!$K$2:$K$1048791,MATCH($Q246,DFD!$B$2:$B$1048791,0)),"")</f>
        <v/>
      </c>
      <c r="Y246" s="97" t="str">
        <f t="array" ref="Y246">IFERROR(INDEX(DFD!$L$2:$L$1048790,MATCH($Q246,DFD!$B$2:$B$1048790,0)),"")</f>
        <v/>
      </c>
      <c r="Z246" s="97">
        <f t="shared" si="4"/>
        <v>45</v>
      </c>
      <c r="AA246" s="87"/>
      <c r="AB246" s="87" t="s">
        <v>72</v>
      </c>
      <c r="AC246" s="87"/>
      <c r="AD246" s="99">
        <v>46043.0</v>
      </c>
      <c r="AE246" s="119">
        <f t="shared" si="5"/>
        <v>1</v>
      </c>
    </row>
    <row r="247" ht="15.75" customHeight="1">
      <c r="A247" s="67"/>
      <c r="B247" s="67" t="s">
        <v>123</v>
      </c>
      <c r="C247" s="81" t="s">
        <v>957</v>
      </c>
      <c r="D247" s="81" t="s">
        <v>51</v>
      </c>
      <c r="E247" s="81">
        <v>4.0</v>
      </c>
      <c r="F247" s="113">
        <v>5600.0</v>
      </c>
      <c r="G247" s="73" t="s">
        <v>53</v>
      </c>
      <c r="H247" s="83">
        <v>46204.0</v>
      </c>
      <c r="I247" s="67" t="s">
        <v>17</v>
      </c>
      <c r="J247" s="67" t="s">
        <v>54</v>
      </c>
      <c r="K247" s="67" t="s">
        <v>83</v>
      </c>
      <c r="L247" s="67" t="s">
        <v>56</v>
      </c>
      <c r="M247" s="67" t="s">
        <v>84</v>
      </c>
      <c r="N247" s="67" t="s">
        <v>20</v>
      </c>
      <c r="O247" s="59" t="s">
        <v>59</v>
      </c>
      <c r="P247" s="59"/>
      <c r="Q247" s="59" t="s">
        <v>958</v>
      </c>
      <c r="R247" s="67" t="s">
        <v>114</v>
      </c>
      <c r="S247" s="59"/>
      <c r="T247" s="59"/>
      <c r="U247" s="77" t="str">
        <f t="array" ref="U247">IFERROR(INDEX(DFD!$D$2:$D$1048791,MATCH($Q247,DFD!$B$2:$B$1048791,0)),"")</f>
        <v/>
      </c>
      <c r="V247" s="77" t="str">
        <f t="array" ref="V247">IFERROR(INDEX(DFD!$F$2:$F$1048791,MATCH($Q247,DFD!$B$2:$B$1048791,0)),"")</f>
        <v/>
      </c>
      <c r="W247" s="84" t="str">
        <f t="array" ref="W247">IFERROR(INDEX(DFD!$E$2:$E$1048791,MATCH($Q247,DFD!$B$2:$B$1048791,0)),"")</f>
        <v/>
      </c>
      <c r="X247" s="84" t="str">
        <f t="array" ref="X247">IFERROR(INDEX(DFD!$K$2:$K$1048791,MATCH($Q247,DFD!$B$2:$B$1048791,0)),"")</f>
        <v/>
      </c>
      <c r="Y247" s="84" t="str">
        <f t="array" ref="Y247">IFERROR(INDEX(DFD!$L$2:$L$1048790,MATCH($Q247,DFD!$B$2:$B$1048790,0)),"")</f>
        <v/>
      </c>
      <c r="Z247" s="84">
        <f t="shared" si="4"/>
        <v>45</v>
      </c>
      <c r="AA247" s="59"/>
      <c r="AB247" s="59" t="s">
        <v>72</v>
      </c>
      <c r="AC247" s="59"/>
      <c r="AD247" s="85">
        <v>46043.0</v>
      </c>
      <c r="AE247" s="114">
        <f t="shared" si="5"/>
        <v>1</v>
      </c>
    </row>
    <row r="248" ht="15.75" customHeight="1">
      <c r="A248" s="92"/>
      <c r="B248" s="92" t="s">
        <v>81</v>
      </c>
      <c r="C248" s="116" t="s">
        <v>957</v>
      </c>
      <c r="D248" s="116" t="s">
        <v>51</v>
      </c>
      <c r="E248" s="116">
        <v>3.0</v>
      </c>
      <c r="F248" s="117">
        <v>4200.0</v>
      </c>
      <c r="G248" s="90" t="s">
        <v>53</v>
      </c>
      <c r="H248" s="118">
        <v>46204.0</v>
      </c>
      <c r="I248" s="92" t="s">
        <v>17</v>
      </c>
      <c r="J248" s="92" t="s">
        <v>54</v>
      </c>
      <c r="K248" s="92" t="s">
        <v>83</v>
      </c>
      <c r="L248" s="92" t="s">
        <v>56</v>
      </c>
      <c r="M248" s="92" t="s">
        <v>84</v>
      </c>
      <c r="N248" s="92" t="s">
        <v>20</v>
      </c>
      <c r="O248" s="87" t="s">
        <v>59</v>
      </c>
      <c r="P248" s="87"/>
      <c r="Q248" s="87" t="s">
        <v>958</v>
      </c>
      <c r="R248" s="92" t="s">
        <v>114</v>
      </c>
      <c r="S248" s="87"/>
      <c r="T248" s="87"/>
      <c r="U248" s="94" t="str">
        <f t="array" ref="U248">IFERROR(INDEX(DFD!$D$2:$D$1048791,MATCH($Q248,DFD!$B$2:$B$1048791,0)),"")</f>
        <v/>
      </c>
      <c r="V248" s="94" t="str">
        <f t="array" ref="V248">IFERROR(INDEX(DFD!$F$2:$F$1048791,MATCH($Q248,DFD!$B$2:$B$1048791,0)),"")</f>
        <v/>
      </c>
      <c r="W248" s="97" t="str">
        <f t="array" ref="W248">IFERROR(INDEX(DFD!$E$2:$E$1048791,MATCH($Q248,DFD!$B$2:$B$1048791,0)),"")</f>
        <v/>
      </c>
      <c r="X248" s="97" t="str">
        <f t="array" ref="X248">IFERROR(INDEX(DFD!$K$2:$K$1048791,MATCH($Q248,DFD!$B$2:$B$1048791,0)),"")</f>
        <v/>
      </c>
      <c r="Y248" s="97" t="str">
        <f t="array" ref="Y248">IFERROR(INDEX(DFD!$L$2:$L$1048790,MATCH($Q248,DFD!$B$2:$B$1048790,0)),"")</f>
        <v/>
      </c>
      <c r="Z248" s="97">
        <f t="shared" si="4"/>
        <v>45</v>
      </c>
      <c r="AA248" s="87"/>
      <c r="AB248" s="87" t="s">
        <v>72</v>
      </c>
      <c r="AC248" s="87"/>
      <c r="AD248" s="99">
        <v>46043.0</v>
      </c>
      <c r="AE248" s="119">
        <f t="shared" si="5"/>
        <v>1</v>
      </c>
    </row>
    <row r="249" ht="15.75" customHeight="1">
      <c r="A249" s="67"/>
      <c r="B249" s="67" t="s">
        <v>171</v>
      </c>
      <c r="C249" s="81" t="s">
        <v>957</v>
      </c>
      <c r="D249" s="81" t="s">
        <v>51</v>
      </c>
      <c r="E249" s="81">
        <v>1.0</v>
      </c>
      <c r="F249" s="113">
        <v>1400.0</v>
      </c>
      <c r="G249" s="73" t="s">
        <v>53</v>
      </c>
      <c r="H249" s="83">
        <v>46174.0</v>
      </c>
      <c r="I249" s="67" t="s">
        <v>17</v>
      </c>
      <c r="J249" s="67" t="s">
        <v>54</v>
      </c>
      <c r="K249" s="67" t="s">
        <v>83</v>
      </c>
      <c r="L249" s="67" t="s">
        <v>56</v>
      </c>
      <c r="M249" s="67" t="s">
        <v>84</v>
      </c>
      <c r="N249" s="67" t="s">
        <v>20</v>
      </c>
      <c r="O249" s="59" t="s">
        <v>59</v>
      </c>
      <c r="P249" s="59"/>
      <c r="Q249" s="59" t="s">
        <v>958</v>
      </c>
      <c r="R249" s="67" t="s">
        <v>114</v>
      </c>
      <c r="S249" s="59"/>
      <c r="T249" s="59"/>
      <c r="U249" s="77" t="str">
        <f t="array" ref="U249">IFERROR(INDEX(DFD!$D$2:$D$1048791,MATCH($Q249,DFD!$B$2:$B$1048791,0)),"")</f>
        <v/>
      </c>
      <c r="V249" s="77" t="str">
        <f t="array" ref="V249">IFERROR(INDEX(DFD!$F$2:$F$1048791,MATCH($Q249,DFD!$B$2:$B$1048791,0)),"")</f>
        <v/>
      </c>
      <c r="W249" s="84" t="str">
        <f t="array" ref="W249">IFERROR(INDEX(DFD!$E$2:$E$1048791,MATCH($Q249,DFD!$B$2:$B$1048791,0)),"")</f>
        <v/>
      </c>
      <c r="X249" s="84" t="str">
        <f t="array" ref="X249">IFERROR(INDEX(DFD!$K$2:$K$1048791,MATCH($Q249,DFD!$B$2:$B$1048791,0)),"")</f>
        <v/>
      </c>
      <c r="Y249" s="84" t="str">
        <f t="array" ref="Y249">IFERROR(INDEX(DFD!$L$2:$L$1048790,MATCH($Q249,DFD!$B$2:$B$1048790,0)),"")</f>
        <v/>
      </c>
      <c r="Z249" s="84">
        <f t="shared" si="4"/>
        <v>45</v>
      </c>
      <c r="AA249" s="59"/>
      <c r="AB249" s="59" t="s">
        <v>72</v>
      </c>
      <c r="AC249" s="59"/>
      <c r="AD249" s="85">
        <v>46043.0</v>
      </c>
      <c r="AE249" s="114">
        <f t="shared" si="5"/>
        <v>1</v>
      </c>
    </row>
    <row r="250" ht="15.75" customHeight="1">
      <c r="A250" s="92"/>
      <c r="B250" s="92" t="s">
        <v>107</v>
      </c>
      <c r="C250" s="116" t="s">
        <v>957</v>
      </c>
      <c r="D250" s="116" t="s">
        <v>51</v>
      </c>
      <c r="E250" s="116">
        <v>1.0</v>
      </c>
      <c r="F250" s="117">
        <v>1400.0</v>
      </c>
      <c r="G250" s="90" t="s">
        <v>53</v>
      </c>
      <c r="H250" s="118">
        <v>46174.0</v>
      </c>
      <c r="I250" s="92" t="s">
        <v>17</v>
      </c>
      <c r="J250" s="92" t="s">
        <v>54</v>
      </c>
      <c r="K250" s="92" t="s">
        <v>83</v>
      </c>
      <c r="L250" s="92" t="s">
        <v>56</v>
      </c>
      <c r="M250" s="92" t="s">
        <v>84</v>
      </c>
      <c r="N250" s="92" t="s">
        <v>20</v>
      </c>
      <c r="O250" s="87" t="s">
        <v>59</v>
      </c>
      <c r="P250" s="87"/>
      <c r="Q250" s="87" t="s">
        <v>958</v>
      </c>
      <c r="R250" s="92" t="s">
        <v>114</v>
      </c>
      <c r="S250" s="87"/>
      <c r="T250" s="87"/>
      <c r="U250" s="94" t="str">
        <f t="array" ref="U250">IFERROR(INDEX(DFD!$D$2:$D$1048791,MATCH($Q250,DFD!$B$2:$B$1048791,0)),"")</f>
        <v/>
      </c>
      <c r="V250" s="94" t="str">
        <f t="array" ref="V250">IFERROR(INDEX(DFD!$F$2:$F$1048791,MATCH($Q250,DFD!$B$2:$B$1048791,0)),"")</f>
        <v/>
      </c>
      <c r="W250" s="97" t="str">
        <f t="array" ref="W250">IFERROR(INDEX(DFD!$E$2:$E$1048791,MATCH($Q250,DFD!$B$2:$B$1048791,0)),"")</f>
        <v/>
      </c>
      <c r="X250" s="97" t="str">
        <f t="array" ref="X250">IFERROR(INDEX(DFD!$K$2:$K$1048791,MATCH($Q250,DFD!$B$2:$B$1048791,0)),"")</f>
        <v/>
      </c>
      <c r="Y250" s="97" t="str">
        <f t="array" ref="Y250">IFERROR(INDEX(DFD!$L$2:$L$1048790,MATCH($Q250,DFD!$B$2:$B$1048790,0)),"")</f>
        <v/>
      </c>
      <c r="Z250" s="97">
        <f t="shared" si="4"/>
        <v>45</v>
      </c>
      <c r="AA250" s="87"/>
      <c r="AB250" s="87" t="s">
        <v>72</v>
      </c>
      <c r="AC250" s="87"/>
      <c r="AD250" s="99">
        <v>46043.0</v>
      </c>
      <c r="AE250" s="119">
        <f t="shared" si="5"/>
        <v>1</v>
      </c>
    </row>
    <row r="251" ht="15.75" customHeight="1">
      <c r="A251" s="67"/>
      <c r="B251" s="67" t="s">
        <v>80</v>
      </c>
      <c r="C251" s="81" t="s">
        <v>973</v>
      </c>
      <c r="D251" s="81" t="s">
        <v>51</v>
      </c>
      <c r="E251" s="81">
        <v>20.0</v>
      </c>
      <c r="F251" s="113">
        <v>1600.0</v>
      </c>
      <c r="G251" s="73" t="s">
        <v>53</v>
      </c>
      <c r="H251" s="83">
        <v>46174.0</v>
      </c>
      <c r="I251" s="67" t="s">
        <v>17</v>
      </c>
      <c r="J251" s="67" t="s">
        <v>54</v>
      </c>
      <c r="K251" s="67" t="s">
        <v>83</v>
      </c>
      <c r="L251" s="67" t="s">
        <v>56</v>
      </c>
      <c r="M251" s="67" t="s">
        <v>84</v>
      </c>
      <c r="N251" s="67" t="s">
        <v>20</v>
      </c>
      <c r="O251" s="59" t="s">
        <v>59</v>
      </c>
      <c r="P251" s="59"/>
      <c r="Q251" s="59" t="s">
        <v>974</v>
      </c>
      <c r="R251" s="67" t="s">
        <v>114</v>
      </c>
      <c r="S251" s="59"/>
      <c r="T251" s="59"/>
      <c r="U251" s="77" t="str">
        <f t="array" ref="U251">IFERROR(INDEX(DFD!$D$2:$D$1048791,MATCH($Q251,DFD!$B$2:$B$1048791,0)),"")</f>
        <v/>
      </c>
      <c r="V251" s="77" t="str">
        <f t="array" ref="V251">IFERROR(INDEX(DFD!$F$2:$F$1048791,MATCH($Q251,DFD!$B$2:$B$1048791,0)),"")</f>
        <v/>
      </c>
      <c r="W251" s="84" t="str">
        <f t="array" ref="W251">IFERROR(INDEX(DFD!$E$2:$E$1048791,MATCH($Q251,DFD!$B$2:$B$1048791,0)),"")</f>
        <v/>
      </c>
      <c r="X251" s="84" t="str">
        <f t="array" ref="X251">IFERROR(INDEX(DFD!$K$2:$K$1048791,MATCH($Q251,DFD!$B$2:$B$1048791,0)),"")</f>
        <v/>
      </c>
      <c r="Y251" s="84" t="str">
        <f t="array" ref="Y251">IFERROR(INDEX(DFD!$L$2:$L$1048790,MATCH($Q251,DFD!$B$2:$B$1048790,0)),"")</f>
        <v/>
      </c>
      <c r="Z251" s="84">
        <f t="shared" si="4"/>
        <v>45</v>
      </c>
      <c r="AA251" s="59"/>
      <c r="AB251" s="59" t="s">
        <v>72</v>
      </c>
      <c r="AC251" s="59"/>
      <c r="AD251" s="85">
        <v>46043.0</v>
      </c>
      <c r="AE251" s="114">
        <f t="shared" si="5"/>
        <v>1</v>
      </c>
    </row>
    <row r="252" ht="15.75" customHeight="1">
      <c r="A252" s="92"/>
      <c r="B252" s="92" t="s">
        <v>107</v>
      </c>
      <c r="C252" s="116" t="s">
        <v>973</v>
      </c>
      <c r="D252" s="116" t="s">
        <v>51</v>
      </c>
      <c r="E252" s="116">
        <v>20.0</v>
      </c>
      <c r="F252" s="117">
        <v>1600.0</v>
      </c>
      <c r="G252" s="90" t="s">
        <v>53</v>
      </c>
      <c r="H252" s="118">
        <v>46174.0</v>
      </c>
      <c r="I252" s="92" t="s">
        <v>17</v>
      </c>
      <c r="J252" s="92" t="s">
        <v>54</v>
      </c>
      <c r="K252" s="92" t="s">
        <v>83</v>
      </c>
      <c r="L252" s="92" t="s">
        <v>56</v>
      </c>
      <c r="M252" s="92" t="s">
        <v>84</v>
      </c>
      <c r="N252" s="92" t="s">
        <v>20</v>
      </c>
      <c r="O252" s="87" t="s">
        <v>59</v>
      </c>
      <c r="P252" s="87"/>
      <c r="Q252" s="87" t="s">
        <v>974</v>
      </c>
      <c r="R252" s="92" t="s">
        <v>114</v>
      </c>
      <c r="S252" s="87"/>
      <c r="T252" s="87"/>
      <c r="U252" s="94" t="str">
        <f t="array" ref="U252">IFERROR(INDEX(DFD!$D$2:$D$1048791,MATCH($Q252,DFD!$B$2:$B$1048791,0)),"")</f>
        <v/>
      </c>
      <c r="V252" s="94" t="str">
        <f t="array" ref="V252">IFERROR(INDEX(DFD!$F$2:$F$1048791,MATCH($Q252,DFD!$B$2:$B$1048791,0)),"")</f>
        <v/>
      </c>
      <c r="W252" s="97" t="str">
        <f t="array" ref="W252">IFERROR(INDEX(DFD!$E$2:$E$1048791,MATCH($Q252,DFD!$B$2:$B$1048791,0)),"")</f>
        <v/>
      </c>
      <c r="X252" s="97" t="str">
        <f t="array" ref="X252">IFERROR(INDEX(DFD!$K$2:$K$1048791,MATCH($Q252,DFD!$B$2:$B$1048791,0)),"")</f>
        <v/>
      </c>
      <c r="Y252" s="97" t="str">
        <f t="array" ref="Y252">IFERROR(INDEX(DFD!$L$2:$L$1048790,MATCH($Q252,DFD!$B$2:$B$1048790,0)),"")</f>
        <v/>
      </c>
      <c r="Z252" s="97">
        <f t="shared" si="4"/>
        <v>45</v>
      </c>
      <c r="AA252" s="87"/>
      <c r="AB252" s="87" t="s">
        <v>72</v>
      </c>
      <c r="AC252" s="87"/>
      <c r="AD252" s="99">
        <v>46043.0</v>
      </c>
      <c r="AE252" s="119">
        <f t="shared" si="5"/>
        <v>1</v>
      </c>
    </row>
    <row r="253" ht="15.75" customHeight="1">
      <c r="A253" s="67"/>
      <c r="B253" s="67" t="s">
        <v>81</v>
      </c>
      <c r="C253" s="81" t="s">
        <v>973</v>
      </c>
      <c r="D253" s="81" t="s">
        <v>51</v>
      </c>
      <c r="E253" s="81">
        <v>20.0</v>
      </c>
      <c r="F253" s="113">
        <v>1600.0</v>
      </c>
      <c r="G253" s="73" t="s">
        <v>53</v>
      </c>
      <c r="H253" s="83">
        <v>46174.0</v>
      </c>
      <c r="I253" s="67" t="s">
        <v>17</v>
      </c>
      <c r="J253" s="67" t="s">
        <v>54</v>
      </c>
      <c r="K253" s="67" t="s">
        <v>83</v>
      </c>
      <c r="L253" s="67" t="s">
        <v>56</v>
      </c>
      <c r="M253" s="67" t="s">
        <v>84</v>
      </c>
      <c r="N253" s="67" t="s">
        <v>20</v>
      </c>
      <c r="O253" s="59" t="s">
        <v>59</v>
      </c>
      <c r="P253" s="59"/>
      <c r="Q253" s="59" t="s">
        <v>974</v>
      </c>
      <c r="R253" s="67" t="s">
        <v>114</v>
      </c>
      <c r="S253" s="59"/>
      <c r="T253" s="59"/>
      <c r="U253" s="77" t="str">
        <f t="array" ref="U253">IFERROR(INDEX(DFD!$D$2:$D$1048791,MATCH($Q253,DFD!$B$2:$B$1048791,0)),"")</f>
        <v/>
      </c>
      <c r="V253" s="77" t="str">
        <f t="array" ref="V253">IFERROR(INDEX(DFD!$F$2:$F$1048791,MATCH($Q253,DFD!$B$2:$B$1048791,0)),"")</f>
        <v/>
      </c>
      <c r="W253" s="84" t="str">
        <f t="array" ref="W253">IFERROR(INDEX(DFD!$E$2:$E$1048791,MATCH($Q253,DFD!$B$2:$B$1048791,0)),"")</f>
        <v/>
      </c>
      <c r="X253" s="84" t="str">
        <f t="array" ref="X253">IFERROR(INDEX(DFD!$K$2:$K$1048791,MATCH($Q253,DFD!$B$2:$B$1048791,0)),"")</f>
        <v/>
      </c>
      <c r="Y253" s="84" t="str">
        <f t="array" ref="Y253">IFERROR(INDEX(DFD!$L$2:$L$1048790,MATCH($Q253,DFD!$B$2:$B$1048790,0)),"")</f>
        <v/>
      </c>
      <c r="Z253" s="84">
        <f t="shared" si="4"/>
        <v>45</v>
      </c>
      <c r="AA253" s="59"/>
      <c r="AB253" s="59" t="s">
        <v>72</v>
      </c>
      <c r="AC253" s="59"/>
      <c r="AD253" s="85">
        <v>46043.0</v>
      </c>
      <c r="AE253" s="114">
        <f t="shared" si="5"/>
        <v>1</v>
      </c>
    </row>
    <row r="254" ht="15.75" customHeight="1">
      <c r="A254" s="87"/>
      <c r="B254" s="87" t="s">
        <v>101</v>
      </c>
      <c r="C254" s="88" t="s">
        <v>983</v>
      </c>
      <c r="D254" s="88" t="s">
        <v>984</v>
      </c>
      <c r="E254" s="88">
        <v>120.0</v>
      </c>
      <c r="F254" s="139">
        <v>17280.0</v>
      </c>
      <c r="G254" s="90" t="s">
        <v>53</v>
      </c>
      <c r="H254" s="91">
        <v>46235.0</v>
      </c>
      <c r="I254" s="92" t="s">
        <v>17</v>
      </c>
      <c r="J254" s="92" t="s">
        <v>54</v>
      </c>
      <c r="K254" s="92" t="s">
        <v>66</v>
      </c>
      <c r="L254" s="92" t="s">
        <v>56</v>
      </c>
      <c r="M254" s="92" t="s">
        <v>515</v>
      </c>
      <c r="N254" s="87" t="s">
        <v>20</v>
      </c>
      <c r="O254" s="87" t="s">
        <v>59</v>
      </c>
      <c r="P254" s="87"/>
      <c r="Q254" s="87" t="s">
        <v>974</v>
      </c>
      <c r="R254" s="92" t="s">
        <v>114</v>
      </c>
      <c r="S254" s="87"/>
      <c r="T254" s="87"/>
      <c r="U254" s="94" t="str">
        <f t="array" ref="U254">IFERROR(INDEX(DFD!$D$2:$D$1048791,MATCH($Q254,DFD!$B$2:$B$1048791,0)),"")</f>
        <v/>
      </c>
      <c r="V254" s="94" t="str">
        <f t="array" ref="V254">IFERROR(INDEX(DFD!$F$2:$F$1048791,MATCH($Q254,DFD!$B$2:$B$1048791,0)),"")</f>
        <v/>
      </c>
      <c r="W254" s="97" t="str">
        <f t="array" ref="W254">IFERROR(INDEX(DFD!$E$2:$E$1048791,MATCH($Q254,DFD!$B$2:$B$1048791,0)),"")</f>
        <v/>
      </c>
      <c r="X254" s="97" t="str">
        <f t="array" ref="X254">IFERROR(INDEX(DFD!$K$2:$K$1048791,MATCH($Q254,DFD!$B$2:$B$1048791,0)),"")</f>
        <v/>
      </c>
      <c r="Y254" s="97" t="str">
        <f t="array" ref="Y254">IFERROR(INDEX(DFD!$L$2:$L$1048790,MATCH($Q254,DFD!$B$2:$B$1048790,0)),"")</f>
        <v/>
      </c>
      <c r="Z254" s="97">
        <f t="shared" si="4"/>
        <v>45</v>
      </c>
      <c r="AA254" s="87"/>
      <c r="AB254" s="87" t="s">
        <v>72</v>
      </c>
      <c r="AC254" s="87"/>
      <c r="AD254" s="99">
        <v>46043.0</v>
      </c>
      <c r="AE254" s="119">
        <f t="shared" si="5"/>
        <v>1</v>
      </c>
    </row>
    <row r="255" ht="15.75" customHeight="1">
      <c r="A255" s="59"/>
      <c r="B255" s="59" t="s">
        <v>172</v>
      </c>
      <c r="C255" s="60" t="s">
        <v>987</v>
      </c>
      <c r="D255" s="60" t="s">
        <v>51</v>
      </c>
      <c r="E255" s="60">
        <v>1.0</v>
      </c>
      <c r="F255" s="138">
        <v>5500.0</v>
      </c>
      <c r="G255" s="73" t="s">
        <v>53</v>
      </c>
      <c r="H255" s="74">
        <v>46204.0</v>
      </c>
      <c r="I255" s="67" t="s">
        <v>17</v>
      </c>
      <c r="J255" s="67" t="s">
        <v>54</v>
      </c>
      <c r="K255" s="67" t="s">
        <v>66</v>
      </c>
      <c r="L255" s="67" t="s">
        <v>56</v>
      </c>
      <c r="M255" s="67" t="s">
        <v>57</v>
      </c>
      <c r="N255" s="59" t="s">
        <v>20</v>
      </c>
      <c r="O255" s="59" t="s">
        <v>59</v>
      </c>
      <c r="P255" s="59"/>
      <c r="Q255" s="77" t="s">
        <v>988</v>
      </c>
      <c r="R255" s="67" t="s">
        <v>71</v>
      </c>
      <c r="S255" s="59"/>
      <c r="T255" s="59"/>
      <c r="U255" s="77" t="str">
        <f t="array" ref="U255">IFERROR(INDEX(DFD!$D$2:$D$1048791,MATCH($Q255,DFD!$B$2:$B$1048791,0)),"")</f>
        <v/>
      </c>
      <c r="V255" s="77" t="str">
        <f t="array" ref="V255">IFERROR(INDEX(DFD!$F$2:$F$1048791,MATCH($Q255,DFD!$B$2:$B$1048791,0)),"")</f>
        <v/>
      </c>
      <c r="W255" s="84" t="str">
        <f t="array" ref="W255">IFERROR(INDEX(DFD!$E$2:$E$1048791,MATCH($Q255,DFD!$B$2:$B$1048791,0)),"")</f>
        <v/>
      </c>
      <c r="X255" s="84" t="str">
        <f t="array" ref="X255">IFERROR(INDEX(DFD!$K$2:$K$1048791,MATCH($Q255,DFD!$B$2:$B$1048791,0)),"")</f>
        <v/>
      </c>
      <c r="Y255" s="84" t="str">
        <f t="array" ref="Y255">IFERROR(INDEX(DFD!$L$2:$L$1048790,MATCH($Q255,DFD!$B$2:$B$1048790,0)),"")</f>
        <v/>
      </c>
      <c r="Z255" s="84">
        <f t="shared" si="4"/>
        <v>45</v>
      </c>
      <c r="AA255" s="59"/>
      <c r="AB255" s="59" t="s">
        <v>72</v>
      </c>
      <c r="AC255" s="59"/>
      <c r="AD255" s="85">
        <v>46043.0</v>
      </c>
      <c r="AE255" s="114">
        <f t="shared" si="5"/>
        <v>1</v>
      </c>
    </row>
    <row r="256" ht="15.75" customHeight="1">
      <c r="A256" s="87"/>
      <c r="B256" s="87" t="s">
        <v>95</v>
      </c>
      <c r="C256" s="88" t="s">
        <v>987</v>
      </c>
      <c r="D256" s="88" t="s">
        <v>51</v>
      </c>
      <c r="E256" s="88">
        <v>1.0</v>
      </c>
      <c r="F256" s="139">
        <v>5300.0</v>
      </c>
      <c r="G256" s="90" t="s">
        <v>53</v>
      </c>
      <c r="H256" s="91">
        <v>46204.0</v>
      </c>
      <c r="I256" s="92" t="s">
        <v>17</v>
      </c>
      <c r="J256" s="92" t="s">
        <v>54</v>
      </c>
      <c r="K256" s="92" t="s">
        <v>66</v>
      </c>
      <c r="L256" s="92" t="s">
        <v>56</v>
      </c>
      <c r="M256" s="92" t="s">
        <v>57</v>
      </c>
      <c r="N256" s="87" t="s">
        <v>20</v>
      </c>
      <c r="O256" s="87" t="s">
        <v>59</v>
      </c>
      <c r="P256" s="87"/>
      <c r="Q256" s="94" t="s">
        <v>988</v>
      </c>
      <c r="R256" s="92" t="s">
        <v>71</v>
      </c>
      <c r="S256" s="87"/>
      <c r="T256" s="87"/>
      <c r="U256" s="94" t="str">
        <f t="array" ref="U256">IFERROR(INDEX(DFD!$D$2:$D$1048791,MATCH($Q256,DFD!$B$2:$B$1048791,0)),"")</f>
        <v/>
      </c>
      <c r="V256" s="94" t="str">
        <f t="array" ref="V256">IFERROR(INDEX(DFD!$F$2:$F$1048791,MATCH($Q256,DFD!$B$2:$B$1048791,0)),"")</f>
        <v/>
      </c>
      <c r="W256" s="97" t="str">
        <f t="array" ref="W256">IFERROR(INDEX(DFD!$E$2:$E$1048791,MATCH($Q256,DFD!$B$2:$B$1048791,0)),"")</f>
        <v/>
      </c>
      <c r="X256" s="97" t="str">
        <f t="array" ref="X256">IFERROR(INDEX(DFD!$K$2:$K$1048791,MATCH($Q256,DFD!$B$2:$B$1048791,0)),"")</f>
        <v/>
      </c>
      <c r="Y256" s="97" t="str">
        <f t="array" ref="Y256">IFERROR(INDEX(DFD!$L$2:$L$1048790,MATCH($Q256,DFD!$B$2:$B$1048790,0)),"")</f>
        <v/>
      </c>
      <c r="Z256" s="97">
        <f t="shared" si="4"/>
        <v>45</v>
      </c>
      <c r="AA256" s="87"/>
      <c r="AB256" s="87" t="s">
        <v>72</v>
      </c>
      <c r="AC256" s="87"/>
      <c r="AD256" s="99">
        <v>46043.0</v>
      </c>
      <c r="AE256" s="119">
        <f t="shared" si="5"/>
        <v>1</v>
      </c>
    </row>
    <row r="257" ht="15.75" customHeight="1">
      <c r="A257" s="59"/>
      <c r="B257" s="59" t="s">
        <v>94</v>
      </c>
      <c r="C257" s="60" t="s">
        <v>987</v>
      </c>
      <c r="D257" s="60" t="s">
        <v>51</v>
      </c>
      <c r="E257" s="60">
        <v>1.0</v>
      </c>
      <c r="F257" s="138">
        <v>5300.0</v>
      </c>
      <c r="G257" s="73" t="s">
        <v>53</v>
      </c>
      <c r="H257" s="74">
        <v>46204.0</v>
      </c>
      <c r="I257" s="67" t="s">
        <v>17</v>
      </c>
      <c r="J257" s="67" t="s">
        <v>54</v>
      </c>
      <c r="K257" s="67" t="s">
        <v>66</v>
      </c>
      <c r="L257" s="67" t="s">
        <v>56</v>
      </c>
      <c r="M257" s="67" t="s">
        <v>57</v>
      </c>
      <c r="N257" s="59" t="s">
        <v>20</v>
      </c>
      <c r="O257" s="59" t="s">
        <v>59</v>
      </c>
      <c r="P257" s="59"/>
      <c r="Q257" s="77" t="s">
        <v>988</v>
      </c>
      <c r="R257" s="67" t="s">
        <v>71</v>
      </c>
      <c r="S257" s="59"/>
      <c r="T257" s="59"/>
      <c r="U257" s="77" t="str">
        <f t="array" ref="U257">IFERROR(INDEX(DFD!$D$2:$D$1048791,MATCH($Q257,DFD!$B$2:$B$1048791,0)),"")</f>
        <v/>
      </c>
      <c r="V257" s="77" t="str">
        <f t="array" ref="V257">IFERROR(INDEX(DFD!$F$2:$F$1048791,MATCH($Q257,DFD!$B$2:$B$1048791,0)),"")</f>
        <v/>
      </c>
      <c r="W257" s="84" t="str">
        <f t="array" ref="W257">IFERROR(INDEX(DFD!$E$2:$E$1048791,MATCH($Q257,DFD!$B$2:$B$1048791,0)),"")</f>
        <v/>
      </c>
      <c r="X257" s="84" t="str">
        <f t="array" ref="X257">IFERROR(INDEX(DFD!$K$2:$K$1048791,MATCH($Q257,DFD!$B$2:$B$1048791,0)),"")</f>
        <v/>
      </c>
      <c r="Y257" s="84" t="str">
        <f t="array" ref="Y257">IFERROR(INDEX(DFD!$L$2:$L$1048790,MATCH($Q257,DFD!$B$2:$B$1048790,0)),"")</f>
        <v/>
      </c>
      <c r="Z257" s="84">
        <f t="shared" si="4"/>
        <v>45</v>
      </c>
      <c r="AA257" s="59"/>
      <c r="AB257" s="59" t="s">
        <v>72</v>
      </c>
      <c r="AC257" s="59"/>
      <c r="AD257" s="85">
        <v>46043.0</v>
      </c>
      <c r="AE257" s="114">
        <f t="shared" si="5"/>
        <v>1</v>
      </c>
    </row>
    <row r="258" ht="15.75" customHeight="1">
      <c r="A258" s="92"/>
      <c r="B258" s="92" t="s">
        <v>162</v>
      </c>
      <c r="C258" s="116" t="s">
        <v>993</v>
      </c>
      <c r="D258" s="116" t="s">
        <v>51</v>
      </c>
      <c r="E258" s="116">
        <v>1.0</v>
      </c>
      <c r="F258" s="117">
        <v>10000.0</v>
      </c>
      <c r="G258" s="90" t="s">
        <v>53</v>
      </c>
      <c r="H258" s="118">
        <v>46235.0</v>
      </c>
      <c r="I258" s="92" t="s">
        <v>18</v>
      </c>
      <c r="J258" s="92" t="s">
        <v>54</v>
      </c>
      <c r="K258" s="92" t="s">
        <v>83</v>
      </c>
      <c r="L258" s="92" t="s">
        <v>56</v>
      </c>
      <c r="M258" s="92" t="s">
        <v>84</v>
      </c>
      <c r="N258" s="92" t="s">
        <v>20</v>
      </c>
      <c r="O258" s="87" t="s">
        <v>59</v>
      </c>
      <c r="P258" s="87"/>
      <c r="Q258" s="87" t="s">
        <v>994</v>
      </c>
      <c r="R258" s="92" t="s">
        <v>134</v>
      </c>
      <c r="S258" s="87"/>
      <c r="T258" s="87"/>
      <c r="U258" s="94" t="str">
        <f t="array" ref="U258">IFERROR(INDEX(DFD!$D$2:$D$1048791,MATCH($Q258,DFD!$B$2:$B$1048791,0)),"")</f>
        <v/>
      </c>
      <c r="V258" s="94" t="str">
        <f t="array" ref="V258">IFERROR(INDEX(DFD!$F$2:$F$1048791,MATCH($Q258,DFD!$B$2:$B$1048791,0)),"")</f>
        <v/>
      </c>
      <c r="W258" s="97" t="str">
        <f t="array" ref="W258">IFERROR(INDEX(DFD!$E$2:$E$1048791,MATCH($Q258,DFD!$B$2:$B$1048791,0)),"")</f>
        <v/>
      </c>
      <c r="X258" s="97" t="str">
        <f t="array" ref="X258">IFERROR(INDEX(DFD!$K$2:$K$1048791,MATCH($Q258,DFD!$B$2:$B$1048791,0)),"")</f>
        <v/>
      </c>
      <c r="Y258" s="97" t="str">
        <f t="array" ref="Y258">IFERROR(INDEX(DFD!$L$2:$L$1048790,MATCH($Q258,DFD!$B$2:$B$1048790,0)),"")</f>
        <v/>
      </c>
      <c r="Z258" s="97">
        <f t="shared" si="4"/>
        <v>45</v>
      </c>
      <c r="AA258" s="87"/>
      <c r="AB258" s="87" t="s">
        <v>72</v>
      </c>
      <c r="AC258" s="87"/>
      <c r="AD258" s="99">
        <v>46043.0</v>
      </c>
      <c r="AE258" s="119">
        <f t="shared" si="5"/>
        <v>1</v>
      </c>
    </row>
    <row r="259" ht="15.75" customHeight="1">
      <c r="A259" s="67"/>
      <c r="B259" s="67" t="s">
        <v>386</v>
      </c>
      <c r="C259" s="81" t="s">
        <v>996</v>
      </c>
      <c r="D259" s="81" t="s">
        <v>51</v>
      </c>
      <c r="E259" s="81">
        <v>1.0</v>
      </c>
      <c r="F259" s="113">
        <v>10000.0</v>
      </c>
      <c r="G259" s="73" t="s">
        <v>53</v>
      </c>
      <c r="H259" s="83">
        <v>46204.0</v>
      </c>
      <c r="I259" s="67" t="s">
        <v>18</v>
      </c>
      <c r="J259" s="67" t="s">
        <v>54</v>
      </c>
      <c r="K259" s="67" t="s">
        <v>83</v>
      </c>
      <c r="L259" s="67" t="s">
        <v>197</v>
      </c>
      <c r="M259" s="67" t="s">
        <v>84</v>
      </c>
      <c r="N259" s="67" t="s">
        <v>20</v>
      </c>
      <c r="O259" s="59" t="s">
        <v>59</v>
      </c>
      <c r="P259" s="59"/>
      <c r="Q259" s="59" t="s">
        <v>994</v>
      </c>
      <c r="R259" s="67" t="s">
        <v>134</v>
      </c>
      <c r="S259" s="59"/>
      <c r="T259" s="59"/>
      <c r="U259" s="77" t="str">
        <f t="array" ref="U259">IFERROR(INDEX(DFD!$D$2:$D$1048791,MATCH($Q259,DFD!$B$2:$B$1048791,0)),"")</f>
        <v/>
      </c>
      <c r="V259" s="77" t="str">
        <f t="array" ref="V259">IFERROR(INDEX(DFD!$F$2:$F$1048791,MATCH($Q259,DFD!$B$2:$B$1048791,0)),"")</f>
        <v/>
      </c>
      <c r="W259" s="84" t="str">
        <f t="array" ref="W259">IFERROR(INDEX(DFD!$E$2:$E$1048791,MATCH($Q259,DFD!$B$2:$B$1048791,0)),"")</f>
        <v/>
      </c>
      <c r="X259" s="84" t="str">
        <f t="array" ref="X259">IFERROR(INDEX(DFD!$K$2:$K$1048791,MATCH($Q259,DFD!$B$2:$B$1048791,0)),"")</f>
        <v/>
      </c>
      <c r="Y259" s="84" t="str">
        <f t="array" ref="Y259">IFERROR(INDEX(DFD!$L$2:$L$1048790,MATCH($Q259,DFD!$B$2:$B$1048790,0)),"")</f>
        <v/>
      </c>
      <c r="Z259" s="84">
        <f t="shared" si="4"/>
        <v>45</v>
      </c>
      <c r="AA259" s="59"/>
      <c r="AB259" s="59" t="s">
        <v>72</v>
      </c>
      <c r="AC259" s="59"/>
      <c r="AD259" s="85">
        <v>46043.0</v>
      </c>
      <c r="AE259" s="114">
        <f t="shared" si="5"/>
        <v>1</v>
      </c>
    </row>
    <row r="260" ht="15.75" customHeight="1">
      <c r="A260" s="87"/>
      <c r="B260" s="87" t="s">
        <v>184</v>
      </c>
      <c r="C260" s="88" t="s">
        <v>999</v>
      </c>
      <c r="D260" s="88" t="s">
        <v>51</v>
      </c>
      <c r="E260" s="88">
        <v>60.0</v>
      </c>
      <c r="F260" s="139">
        <v>12000.0</v>
      </c>
      <c r="G260" s="90" t="s">
        <v>53</v>
      </c>
      <c r="H260" s="91">
        <v>46235.0</v>
      </c>
      <c r="I260" s="92" t="s">
        <v>17</v>
      </c>
      <c r="J260" s="92" t="s">
        <v>54</v>
      </c>
      <c r="K260" s="92" t="s">
        <v>66</v>
      </c>
      <c r="L260" s="92" t="s">
        <v>67</v>
      </c>
      <c r="M260" s="92" t="s">
        <v>132</v>
      </c>
      <c r="N260" s="87" t="s">
        <v>20</v>
      </c>
      <c r="O260" s="87" t="s">
        <v>59</v>
      </c>
      <c r="P260" s="87"/>
      <c r="Q260" s="87" t="s">
        <v>994</v>
      </c>
      <c r="R260" s="92" t="s">
        <v>134</v>
      </c>
      <c r="S260" s="87"/>
      <c r="T260" s="87"/>
      <c r="U260" s="94" t="str">
        <f t="array" ref="U260">IFERROR(INDEX(DFD!$D$2:$D$1048791,MATCH($Q260,DFD!$B$2:$B$1048791,0)),"")</f>
        <v/>
      </c>
      <c r="V260" s="94" t="str">
        <f t="array" ref="V260">IFERROR(INDEX(DFD!$F$2:$F$1048791,MATCH($Q260,DFD!$B$2:$B$1048791,0)),"")</f>
        <v/>
      </c>
      <c r="W260" s="97" t="str">
        <f t="array" ref="W260">IFERROR(INDEX(DFD!$E$2:$E$1048791,MATCH($Q260,DFD!$B$2:$B$1048791,0)),"")</f>
        <v/>
      </c>
      <c r="X260" s="97" t="str">
        <f t="array" ref="X260">IFERROR(INDEX(DFD!$K$2:$K$1048791,MATCH($Q260,DFD!$B$2:$B$1048791,0)),"")</f>
        <v/>
      </c>
      <c r="Y260" s="97" t="str">
        <f t="array" ref="Y260">IFERROR(INDEX(DFD!$L$2:$L$1048790,MATCH($Q260,DFD!$B$2:$B$1048790,0)),"")</f>
        <v/>
      </c>
      <c r="Z260" s="97">
        <f t="shared" si="4"/>
        <v>45</v>
      </c>
      <c r="AA260" s="87"/>
      <c r="AB260" s="87" t="s">
        <v>72</v>
      </c>
      <c r="AC260" s="87"/>
      <c r="AD260" s="99">
        <v>46043.0</v>
      </c>
      <c r="AE260" s="119">
        <f t="shared" si="5"/>
        <v>1</v>
      </c>
    </row>
    <row r="261" ht="15.75" customHeight="1">
      <c r="A261" s="67"/>
      <c r="B261" s="67" t="s">
        <v>155</v>
      </c>
      <c r="C261" s="81" t="s">
        <v>1002</v>
      </c>
      <c r="D261" s="81" t="s">
        <v>51</v>
      </c>
      <c r="E261" s="81">
        <v>24.0</v>
      </c>
      <c r="F261" s="113">
        <v>24000.0</v>
      </c>
      <c r="G261" s="73" t="s">
        <v>53</v>
      </c>
      <c r="H261" s="83">
        <v>46235.0</v>
      </c>
      <c r="I261" s="67" t="s">
        <v>18</v>
      </c>
      <c r="J261" s="67" t="s">
        <v>54</v>
      </c>
      <c r="K261" s="67" t="s">
        <v>83</v>
      </c>
      <c r="L261" s="67" t="s">
        <v>56</v>
      </c>
      <c r="M261" s="67" t="s">
        <v>84</v>
      </c>
      <c r="N261" s="67" t="s">
        <v>20</v>
      </c>
      <c r="O261" s="59" t="s">
        <v>59</v>
      </c>
      <c r="P261" s="59"/>
      <c r="Q261" s="59" t="s">
        <v>1003</v>
      </c>
      <c r="R261" s="67" t="s">
        <v>531</v>
      </c>
      <c r="S261" s="59"/>
      <c r="T261" s="59"/>
      <c r="U261" s="77" t="str">
        <f t="array" ref="U261">IFERROR(INDEX(DFD!$D$2:$D$1048791,MATCH($Q261,DFD!$B$2:$B$1048791,0)),"")</f>
        <v/>
      </c>
      <c r="V261" s="77" t="str">
        <f t="array" ref="V261">IFERROR(INDEX(DFD!$F$2:$F$1048791,MATCH($Q261,DFD!$B$2:$B$1048791,0)),"")</f>
        <v/>
      </c>
      <c r="W261" s="84" t="str">
        <f t="array" ref="W261">IFERROR(INDEX(DFD!$E$2:$E$1048791,MATCH($Q261,DFD!$B$2:$B$1048791,0)),"")</f>
        <v/>
      </c>
      <c r="X261" s="84" t="str">
        <f t="array" ref="X261">IFERROR(INDEX(DFD!$K$2:$K$1048791,MATCH($Q261,DFD!$B$2:$B$1048791,0)),"")</f>
        <v/>
      </c>
      <c r="Y261" s="84" t="str">
        <f t="array" ref="Y261">IFERROR(INDEX(DFD!$L$2:$L$1048790,MATCH($Q261,DFD!$B$2:$B$1048790,0)),"")</f>
        <v/>
      </c>
      <c r="Z261" s="84">
        <f t="shared" si="4"/>
        <v>45</v>
      </c>
      <c r="AA261" s="59"/>
      <c r="AB261" s="59" t="s">
        <v>72</v>
      </c>
      <c r="AC261" s="59"/>
      <c r="AD261" s="85">
        <v>46043.0</v>
      </c>
      <c r="AE261" s="114">
        <f t="shared" si="5"/>
        <v>1</v>
      </c>
    </row>
    <row r="262" ht="15.75" customHeight="1">
      <c r="A262" s="92"/>
      <c r="B262" s="92" t="s">
        <v>92</v>
      </c>
      <c r="C262" s="116" t="s">
        <v>1002</v>
      </c>
      <c r="D262" s="116" t="s">
        <v>51</v>
      </c>
      <c r="E262" s="116">
        <v>11.0</v>
      </c>
      <c r="F262" s="117">
        <v>11000.0</v>
      </c>
      <c r="G262" s="90" t="s">
        <v>53</v>
      </c>
      <c r="H262" s="118">
        <v>46235.0</v>
      </c>
      <c r="I262" s="92" t="s">
        <v>18</v>
      </c>
      <c r="J262" s="92" t="s">
        <v>54</v>
      </c>
      <c r="K262" s="92" t="s">
        <v>83</v>
      </c>
      <c r="L262" s="92" t="s">
        <v>56</v>
      </c>
      <c r="M262" s="92" t="s">
        <v>84</v>
      </c>
      <c r="N262" s="92" t="s">
        <v>20</v>
      </c>
      <c r="O262" s="87" t="s">
        <v>59</v>
      </c>
      <c r="P262" s="87"/>
      <c r="Q262" s="87" t="s">
        <v>1003</v>
      </c>
      <c r="R262" s="92" t="s">
        <v>531</v>
      </c>
      <c r="S262" s="87"/>
      <c r="T262" s="87"/>
      <c r="U262" s="94" t="str">
        <f t="array" ref="U262">IFERROR(INDEX(DFD!$D$2:$D$1048791,MATCH($Q262,DFD!$B$2:$B$1048791,0)),"")</f>
        <v/>
      </c>
      <c r="V262" s="94" t="str">
        <f t="array" ref="V262">IFERROR(INDEX(DFD!$F$2:$F$1048791,MATCH($Q262,DFD!$B$2:$B$1048791,0)),"")</f>
        <v/>
      </c>
      <c r="W262" s="97" t="str">
        <f t="array" ref="W262">IFERROR(INDEX(DFD!$E$2:$E$1048791,MATCH($Q262,DFD!$B$2:$B$1048791,0)),"")</f>
        <v/>
      </c>
      <c r="X262" s="97" t="str">
        <f t="array" ref="X262">IFERROR(INDEX(DFD!$K$2:$K$1048791,MATCH($Q262,DFD!$B$2:$B$1048791,0)),"")</f>
        <v/>
      </c>
      <c r="Y262" s="97" t="str">
        <f t="array" ref="Y262">IFERROR(INDEX(DFD!$L$2:$L$1048790,MATCH($Q262,DFD!$B$2:$B$1048790,0)),"")</f>
        <v/>
      </c>
      <c r="Z262" s="97">
        <f t="shared" si="4"/>
        <v>45</v>
      </c>
      <c r="AA262" s="87"/>
      <c r="AB262" s="87" t="s">
        <v>72</v>
      </c>
      <c r="AC262" s="87"/>
      <c r="AD262" s="99">
        <v>46043.0</v>
      </c>
      <c r="AE262" s="119">
        <f t="shared" si="5"/>
        <v>1</v>
      </c>
    </row>
    <row r="263" ht="15.75" customHeight="1">
      <c r="A263" s="67"/>
      <c r="B263" s="67" t="s">
        <v>91</v>
      </c>
      <c r="C263" s="81" t="s">
        <v>1002</v>
      </c>
      <c r="D263" s="81" t="s">
        <v>51</v>
      </c>
      <c r="E263" s="81">
        <v>10.0</v>
      </c>
      <c r="F263" s="113">
        <v>10000.0</v>
      </c>
      <c r="G263" s="73" t="s">
        <v>53</v>
      </c>
      <c r="H263" s="83">
        <v>46204.0</v>
      </c>
      <c r="I263" s="67" t="s">
        <v>18</v>
      </c>
      <c r="J263" s="67" t="s">
        <v>54</v>
      </c>
      <c r="K263" s="67" t="s">
        <v>83</v>
      </c>
      <c r="L263" s="67" t="s">
        <v>56</v>
      </c>
      <c r="M263" s="67" t="s">
        <v>84</v>
      </c>
      <c r="N263" s="67" t="s">
        <v>20</v>
      </c>
      <c r="O263" s="59" t="s">
        <v>59</v>
      </c>
      <c r="P263" s="59"/>
      <c r="Q263" s="59" t="s">
        <v>1003</v>
      </c>
      <c r="R263" s="67" t="s">
        <v>531</v>
      </c>
      <c r="S263" s="59"/>
      <c r="T263" s="59"/>
      <c r="U263" s="77" t="str">
        <f t="array" ref="U263">IFERROR(INDEX(DFD!$D$2:$D$1048791,MATCH($Q263,DFD!$B$2:$B$1048791,0)),"")</f>
        <v/>
      </c>
      <c r="V263" s="77" t="str">
        <f t="array" ref="V263">IFERROR(INDEX(DFD!$F$2:$F$1048791,MATCH($Q263,DFD!$B$2:$B$1048791,0)),"")</f>
        <v/>
      </c>
      <c r="W263" s="84" t="str">
        <f t="array" ref="W263">IFERROR(INDEX(DFD!$E$2:$E$1048791,MATCH($Q263,DFD!$B$2:$B$1048791,0)),"")</f>
        <v/>
      </c>
      <c r="X263" s="84" t="str">
        <f t="array" ref="X263">IFERROR(INDEX(DFD!$K$2:$K$1048791,MATCH($Q263,DFD!$B$2:$B$1048791,0)),"")</f>
        <v/>
      </c>
      <c r="Y263" s="84" t="str">
        <f t="array" ref="Y263">IFERROR(INDEX(DFD!$L$2:$L$1048790,MATCH($Q263,DFD!$B$2:$B$1048790,0)),"")</f>
        <v/>
      </c>
      <c r="Z263" s="84">
        <f t="shared" si="4"/>
        <v>45</v>
      </c>
      <c r="AA263" s="59"/>
      <c r="AB263" s="59" t="s">
        <v>72</v>
      </c>
      <c r="AC263" s="59"/>
      <c r="AD263" s="85">
        <v>46043.0</v>
      </c>
      <c r="AE263" s="114">
        <f t="shared" si="5"/>
        <v>1</v>
      </c>
    </row>
    <row r="264" ht="15.75" customHeight="1">
      <c r="A264" s="92"/>
      <c r="B264" s="92" t="s">
        <v>81</v>
      </c>
      <c r="C264" s="116" t="s">
        <v>1002</v>
      </c>
      <c r="D264" s="116" t="s">
        <v>51</v>
      </c>
      <c r="E264" s="116">
        <v>5.0</v>
      </c>
      <c r="F264" s="117">
        <v>5500.0</v>
      </c>
      <c r="G264" s="90" t="s">
        <v>53</v>
      </c>
      <c r="H264" s="118">
        <v>46204.0</v>
      </c>
      <c r="I264" s="92" t="s">
        <v>18</v>
      </c>
      <c r="J264" s="92" t="s">
        <v>54</v>
      </c>
      <c r="K264" s="92" t="s">
        <v>83</v>
      </c>
      <c r="L264" s="92" t="s">
        <v>56</v>
      </c>
      <c r="M264" s="92" t="s">
        <v>84</v>
      </c>
      <c r="N264" s="92" t="s">
        <v>20</v>
      </c>
      <c r="O264" s="87" t="s">
        <v>59</v>
      </c>
      <c r="P264" s="87"/>
      <c r="Q264" s="87" t="s">
        <v>1003</v>
      </c>
      <c r="R264" s="92" t="s">
        <v>531</v>
      </c>
      <c r="S264" s="87"/>
      <c r="T264" s="87"/>
      <c r="U264" s="94" t="str">
        <f t="array" ref="U264">IFERROR(INDEX(DFD!$D$2:$D$1048791,MATCH($Q264,DFD!$B$2:$B$1048791,0)),"")</f>
        <v/>
      </c>
      <c r="V264" s="94" t="str">
        <f t="array" ref="V264">IFERROR(INDEX(DFD!$F$2:$F$1048791,MATCH($Q264,DFD!$B$2:$B$1048791,0)),"")</f>
        <v/>
      </c>
      <c r="W264" s="97" t="str">
        <f t="array" ref="W264">IFERROR(INDEX(DFD!$E$2:$E$1048791,MATCH($Q264,DFD!$B$2:$B$1048791,0)),"")</f>
        <v/>
      </c>
      <c r="X264" s="97" t="str">
        <f t="array" ref="X264">IFERROR(INDEX(DFD!$K$2:$K$1048791,MATCH($Q264,DFD!$B$2:$B$1048791,0)),"")</f>
        <v/>
      </c>
      <c r="Y264" s="97" t="str">
        <f t="array" ref="Y264">IFERROR(INDEX(DFD!$L$2:$L$1048790,MATCH($Q264,DFD!$B$2:$B$1048790,0)),"")</f>
        <v/>
      </c>
      <c r="Z264" s="97">
        <f t="shared" si="4"/>
        <v>45</v>
      </c>
      <c r="AA264" s="87"/>
      <c r="AB264" s="87" t="s">
        <v>72</v>
      </c>
      <c r="AC264" s="87"/>
      <c r="AD264" s="99">
        <v>46043.0</v>
      </c>
      <c r="AE264" s="119">
        <f t="shared" si="5"/>
        <v>1</v>
      </c>
    </row>
    <row r="265" ht="15.75" customHeight="1">
      <c r="A265" s="67"/>
      <c r="B265" s="67" t="s">
        <v>105</v>
      </c>
      <c r="C265" s="81" t="s">
        <v>1002</v>
      </c>
      <c r="D265" s="81" t="s">
        <v>51</v>
      </c>
      <c r="E265" s="81">
        <v>1.0</v>
      </c>
      <c r="F265" s="113">
        <v>1000.0</v>
      </c>
      <c r="G265" s="73" t="s">
        <v>53</v>
      </c>
      <c r="H265" s="83">
        <v>46174.0</v>
      </c>
      <c r="I265" s="67" t="s">
        <v>18</v>
      </c>
      <c r="J265" s="67" t="s">
        <v>54</v>
      </c>
      <c r="K265" s="67" t="s">
        <v>83</v>
      </c>
      <c r="L265" s="67" t="s">
        <v>56</v>
      </c>
      <c r="M265" s="67" t="s">
        <v>84</v>
      </c>
      <c r="N265" s="67" t="s">
        <v>20</v>
      </c>
      <c r="O265" s="59" t="s">
        <v>59</v>
      </c>
      <c r="P265" s="59"/>
      <c r="Q265" s="59" t="s">
        <v>1003</v>
      </c>
      <c r="R265" s="67" t="s">
        <v>531</v>
      </c>
      <c r="S265" s="59"/>
      <c r="T265" s="59"/>
      <c r="U265" s="77" t="str">
        <f t="array" ref="U265">IFERROR(INDEX(DFD!$D$2:$D$1048791,MATCH($Q265,DFD!$B$2:$B$1048791,0)),"")</f>
        <v/>
      </c>
      <c r="V265" s="77" t="str">
        <f t="array" ref="V265">IFERROR(INDEX(DFD!$F$2:$F$1048791,MATCH($Q265,DFD!$B$2:$B$1048791,0)),"")</f>
        <v/>
      </c>
      <c r="W265" s="84" t="str">
        <f t="array" ref="W265">IFERROR(INDEX(DFD!$E$2:$E$1048791,MATCH($Q265,DFD!$B$2:$B$1048791,0)),"")</f>
        <v/>
      </c>
      <c r="X265" s="84" t="str">
        <f t="array" ref="X265">IFERROR(INDEX(DFD!$K$2:$K$1048791,MATCH($Q265,DFD!$B$2:$B$1048791,0)),"")</f>
        <v/>
      </c>
      <c r="Y265" s="84" t="str">
        <f t="array" ref="Y265">IFERROR(INDEX(DFD!$L$2:$L$1048790,MATCH($Q265,DFD!$B$2:$B$1048790,0)),"")</f>
        <v/>
      </c>
      <c r="Z265" s="84">
        <f t="shared" si="4"/>
        <v>45</v>
      </c>
      <c r="AA265" s="59"/>
      <c r="AB265" s="59" t="s">
        <v>72</v>
      </c>
      <c r="AC265" s="59"/>
      <c r="AD265" s="85">
        <v>46043.0</v>
      </c>
      <c r="AE265" s="114">
        <f t="shared" si="5"/>
        <v>1</v>
      </c>
    </row>
    <row r="266" ht="15.75" customHeight="1">
      <c r="A266" s="92"/>
      <c r="B266" s="92" t="s">
        <v>98</v>
      </c>
      <c r="C266" s="116" t="s">
        <v>1011</v>
      </c>
      <c r="D266" s="116" t="s">
        <v>51</v>
      </c>
      <c r="E266" s="116">
        <v>4.0</v>
      </c>
      <c r="F266" s="117">
        <v>4000.0</v>
      </c>
      <c r="G266" s="90" t="s">
        <v>53</v>
      </c>
      <c r="H266" s="118">
        <v>46204.0</v>
      </c>
      <c r="I266" s="92" t="s">
        <v>18</v>
      </c>
      <c r="J266" s="92" t="s">
        <v>54</v>
      </c>
      <c r="K266" s="92" t="s">
        <v>83</v>
      </c>
      <c r="L266" s="92" t="s">
        <v>56</v>
      </c>
      <c r="M266" s="92" t="s">
        <v>84</v>
      </c>
      <c r="N266" s="92" t="s">
        <v>20</v>
      </c>
      <c r="O266" s="87" t="s">
        <v>59</v>
      </c>
      <c r="P266" s="87"/>
      <c r="Q266" s="87" t="s">
        <v>1003</v>
      </c>
      <c r="R266" s="92" t="s">
        <v>531</v>
      </c>
      <c r="S266" s="87"/>
      <c r="T266" s="87"/>
      <c r="U266" s="94" t="str">
        <f t="array" ref="U266">IFERROR(INDEX(DFD!$D$2:$D$1048791,MATCH($Q266,DFD!$B$2:$B$1048791,0)),"")</f>
        <v/>
      </c>
      <c r="V266" s="94" t="str">
        <f t="array" ref="V266">IFERROR(INDEX(DFD!$F$2:$F$1048791,MATCH($Q266,DFD!$B$2:$B$1048791,0)),"")</f>
        <v/>
      </c>
      <c r="W266" s="97" t="str">
        <f t="array" ref="W266">IFERROR(INDEX(DFD!$E$2:$E$1048791,MATCH($Q266,DFD!$B$2:$B$1048791,0)),"")</f>
        <v/>
      </c>
      <c r="X266" s="97" t="str">
        <f t="array" ref="X266">IFERROR(INDEX(DFD!$K$2:$K$1048791,MATCH($Q266,DFD!$B$2:$B$1048791,0)),"")</f>
        <v/>
      </c>
      <c r="Y266" s="97" t="str">
        <f t="array" ref="Y266">IFERROR(INDEX(DFD!$L$2:$L$1048790,MATCH($Q266,DFD!$B$2:$B$1048790,0)),"")</f>
        <v/>
      </c>
      <c r="Z266" s="97">
        <f t="shared" si="4"/>
        <v>45</v>
      </c>
      <c r="AA266" s="87"/>
      <c r="AB266" s="87" t="s">
        <v>72</v>
      </c>
      <c r="AC266" s="87"/>
      <c r="AD266" s="99">
        <v>46043.0</v>
      </c>
      <c r="AE266" s="119">
        <f t="shared" si="5"/>
        <v>1</v>
      </c>
    </row>
    <row r="267" ht="15.75" customHeight="1">
      <c r="A267" s="67"/>
      <c r="B267" s="67" t="s">
        <v>109</v>
      </c>
      <c r="C267" s="81" t="s">
        <v>1015</v>
      </c>
      <c r="D267" s="81" t="s">
        <v>51</v>
      </c>
      <c r="E267" s="81">
        <v>4.0</v>
      </c>
      <c r="F267" s="113">
        <v>3200.0</v>
      </c>
      <c r="G267" s="73" t="s">
        <v>53</v>
      </c>
      <c r="H267" s="83">
        <v>46174.0</v>
      </c>
      <c r="I267" s="67" t="s">
        <v>18</v>
      </c>
      <c r="J267" s="67" t="s">
        <v>54</v>
      </c>
      <c r="K267" s="67" t="s">
        <v>83</v>
      </c>
      <c r="L267" s="67" t="s">
        <v>56</v>
      </c>
      <c r="M267" s="67" t="s">
        <v>84</v>
      </c>
      <c r="N267" s="67" t="s">
        <v>20</v>
      </c>
      <c r="O267" s="59" t="s">
        <v>59</v>
      </c>
      <c r="P267" s="59"/>
      <c r="Q267" s="59" t="s">
        <v>1003</v>
      </c>
      <c r="R267" s="67" t="s">
        <v>531</v>
      </c>
      <c r="S267" s="59"/>
      <c r="T267" s="59"/>
      <c r="U267" s="77" t="str">
        <f t="array" ref="U267">IFERROR(INDEX(DFD!$D$2:$D$1048791,MATCH($Q267,DFD!$B$2:$B$1048791,0)),"")</f>
        <v/>
      </c>
      <c r="V267" s="77" t="str">
        <f t="array" ref="V267">IFERROR(INDEX(DFD!$F$2:$F$1048791,MATCH($Q267,DFD!$B$2:$B$1048791,0)),"")</f>
        <v/>
      </c>
      <c r="W267" s="84" t="str">
        <f t="array" ref="W267">IFERROR(INDEX(DFD!$E$2:$E$1048791,MATCH($Q267,DFD!$B$2:$B$1048791,0)),"")</f>
        <v/>
      </c>
      <c r="X267" s="84" t="str">
        <f t="array" ref="X267">IFERROR(INDEX(DFD!$K$2:$K$1048791,MATCH($Q267,DFD!$B$2:$B$1048791,0)),"")</f>
        <v/>
      </c>
      <c r="Y267" s="84" t="str">
        <f t="array" ref="Y267">IFERROR(INDEX(DFD!$L$2:$L$1048790,MATCH($Q267,DFD!$B$2:$B$1048790,0)),"")</f>
        <v/>
      </c>
      <c r="Z267" s="84">
        <f t="shared" si="4"/>
        <v>45</v>
      </c>
      <c r="AA267" s="59"/>
      <c r="AB267" s="59" t="s">
        <v>72</v>
      </c>
      <c r="AC267" s="59"/>
      <c r="AD267" s="85">
        <v>46043.0</v>
      </c>
      <c r="AE267" s="114">
        <f t="shared" si="5"/>
        <v>1</v>
      </c>
    </row>
    <row r="268" ht="15.75" customHeight="1">
      <c r="A268" s="92"/>
      <c r="B268" s="92" t="s">
        <v>162</v>
      </c>
      <c r="C268" s="116" t="s">
        <v>1018</v>
      </c>
      <c r="D268" s="116" t="s">
        <v>51</v>
      </c>
      <c r="E268" s="116">
        <v>1.0</v>
      </c>
      <c r="F268" s="117">
        <v>1200.0</v>
      </c>
      <c r="G268" s="90" t="s">
        <v>53</v>
      </c>
      <c r="H268" s="118">
        <v>46174.0</v>
      </c>
      <c r="I268" s="92" t="s">
        <v>18</v>
      </c>
      <c r="J268" s="92" t="s">
        <v>54</v>
      </c>
      <c r="K268" s="92" t="s">
        <v>83</v>
      </c>
      <c r="L268" s="92" t="s">
        <v>56</v>
      </c>
      <c r="M268" s="92" t="s">
        <v>84</v>
      </c>
      <c r="N268" s="92" t="s">
        <v>20</v>
      </c>
      <c r="O268" s="87" t="s">
        <v>59</v>
      </c>
      <c r="P268" s="87"/>
      <c r="Q268" s="87" t="s">
        <v>1019</v>
      </c>
      <c r="R268" s="92" t="s">
        <v>531</v>
      </c>
      <c r="S268" s="87"/>
      <c r="T268" s="87"/>
      <c r="U268" s="94" t="str">
        <f t="array" ref="U268">IFERROR(INDEX(DFD!$D$2:$D$1048791,MATCH($Q268,DFD!$B$2:$B$1048791,0)),"")</f>
        <v/>
      </c>
      <c r="V268" s="94" t="str">
        <f t="array" ref="V268">IFERROR(INDEX(DFD!$F$2:$F$1048791,MATCH($Q268,DFD!$B$2:$B$1048791,0)),"")</f>
        <v/>
      </c>
      <c r="W268" s="97" t="str">
        <f t="array" ref="W268">IFERROR(INDEX(DFD!$E$2:$E$1048791,MATCH($Q268,DFD!$B$2:$B$1048791,0)),"")</f>
        <v/>
      </c>
      <c r="X268" s="97" t="str">
        <f t="array" ref="X268">IFERROR(INDEX(DFD!$K$2:$K$1048791,MATCH($Q268,DFD!$B$2:$B$1048791,0)),"")</f>
        <v/>
      </c>
      <c r="Y268" s="97" t="str">
        <f t="array" ref="Y268">IFERROR(INDEX(DFD!$L$2:$L$1048790,MATCH($Q268,DFD!$B$2:$B$1048790,0)),"")</f>
        <v/>
      </c>
      <c r="Z268" s="97">
        <f t="shared" si="4"/>
        <v>45</v>
      </c>
      <c r="AA268" s="87"/>
      <c r="AB268" s="87" t="s">
        <v>72</v>
      </c>
      <c r="AC268" s="87"/>
      <c r="AD268" s="99">
        <v>46043.0</v>
      </c>
      <c r="AE268" s="119">
        <f t="shared" si="5"/>
        <v>1</v>
      </c>
    </row>
    <row r="269" ht="15.75" customHeight="1">
      <c r="A269" s="67"/>
      <c r="B269" s="67" t="s">
        <v>155</v>
      </c>
      <c r="C269" s="81" t="s">
        <v>1018</v>
      </c>
      <c r="D269" s="81" t="s">
        <v>51</v>
      </c>
      <c r="E269" s="81">
        <v>1.0</v>
      </c>
      <c r="F269" s="113">
        <v>1200.0</v>
      </c>
      <c r="G269" s="73" t="s">
        <v>53</v>
      </c>
      <c r="H269" s="83">
        <v>46174.0</v>
      </c>
      <c r="I269" s="67" t="s">
        <v>18</v>
      </c>
      <c r="J269" s="67" t="s">
        <v>54</v>
      </c>
      <c r="K269" s="67" t="s">
        <v>83</v>
      </c>
      <c r="L269" s="67" t="s">
        <v>56</v>
      </c>
      <c r="M269" s="67" t="s">
        <v>84</v>
      </c>
      <c r="N269" s="67" t="s">
        <v>20</v>
      </c>
      <c r="O269" s="59" t="s">
        <v>59</v>
      </c>
      <c r="P269" s="59"/>
      <c r="Q269" s="59" t="s">
        <v>1019</v>
      </c>
      <c r="R269" s="67" t="s">
        <v>531</v>
      </c>
      <c r="S269" s="59"/>
      <c r="T269" s="59"/>
      <c r="U269" s="77" t="str">
        <f t="array" ref="U269">IFERROR(INDEX(DFD!$D$2:$D$1048791,MATCH($Q269,DFD!$B$2:$B$1048791,0)),"")</f>
        <v/>
      </c>
      <c r="V269" s="77" t="str">
        <f t="array" ref="V269">IFERROR(INDEX(DFD!$F$2:$F$1048791,MATCH($Q269,DFD!$B$2:$B$1048791,0)),"")</f>
        <v/>
      </c>
      <c r="W269" s="84" t="str">
        <f t="array" ref="W269">IFERROR(INDEX(DFD!$E$2:$E$1048791,MATCH($Q269,DFD!$B$2:$B$1048791,0)),"")</f>
        <v/>
      </c>
      <c r="X269" s="84" t="str">
        <f t="array" ref="X269">IFERROR(INDEX(DFD!$K$2:$K$1048791,MATCH($Q269,DFD!$B$2:$B$1048791,0)),"")</f>
        <v/>
      </c>
      <c r="Y269" s="84" t="str">
        <f t="array" ref="Y269">IFERROR(INDEX(DFD!$L$2:$L$1048790,MATCH($Q269,DFD!$B$2:$B$1048790,0)),"")</f>
        <v/>
      </c>
      <c r="Z269" s="84">
        <f t="shared" si="4"/>
        <v>45</v>
      </c>
      <c r="AA269" s="59"/>
      <c r="AB269" s="59" t="s">
        <v>72</v>
      </c>
      <c r="AC269" s="59"/>
      <c r="AD269" s="85">
        <v>46043.0</v>
      </c>
      <c r="AE269" s="114">
        <f t="shared" si="5"/>
        <v>1</v>
      </c>
    </row>
    <row r="270" ht="15.75" customHeight="1">
      <c r="A270" s="92"/>
      <c r="B270" s="92" t="s">
        <v>87</v>
      </c>
      <c r="C270" s="116" t="s">
        <v>1022</v>
      </c>
      <c r="D270" s="116" t="s">
        <v>51</v>
      </c>
      <c r="E270" s="116">
        <v>1.0</v>
      </c>
      <c r="F270" s="117">
        <v>1848.0</v>
      </c>
      <c r="G270" s="90" t="s">
        <v>53</v>
      </c>
      <c r="H270" s="118">
        <v>46174.0</v>
      </c>
      <c r="I270" s="92" t="s">
        <v>18</v>
      </c>
      <c r="J270" s="92" t="s">
        <v>54</v>
      </c>
      <c r="K270" s="92" t="s">
        <v>83</v>
      </c>
      <c r="L270" s="92" t="s">
        <v>56</v>
      </c>
      <c r="M270" s="92" t="s">
        <v>84</v>
      </c>
      <c r="N270" s="92" t="s">
        <v>20</v>
      </c>
      <c r="O270" s="87" t="s">
        <v>59</v>
      </c>
      <c r="P270" s="87"/>
      <c r="Q270" s="87" t="s">
        <v>1019</v>
      </c>
      <c r="R270" s="92" t="s">
        <v>531</v>
      </c>
      <c r="S270" s="87"/>
      <c r="T270" s="87"/>
      <c r="U270" s="94" t="str">
        <f t="array" ref="U270">IFERROR(INDEX(DFD!$D$2:$D$1048791,MATCH($Q270,DFD!$B$2:$B$1048791,0)),"")</f>
        <v/>
      </c>
      <c r="V270" s="94" t="str">
        <f t="array" ref="V270">IFERROR(INDEX(DFD!$F$2:$F$1048791,MATCH($Q270,DFD!$B$2:$B$1048791,0)),"")</f>
        <v/>
      </c>
      <c r="W270" s="97" t="str">
        <f t="array" ref="W270">IFERROR(INDEX(DFD!$E$2:$E$1048791,MATCH($Q270,DFD!$B$2:$B$1048791,0)),"")</f>
        <v/>
      </c>
      <c r="X270" s="97" t="str">
        <f t="array" ref="X270">IFERROR(INDEX(DFD!$K$2:$K$1048791,MATCH($Q270,DFD!$B$2:$B$1048791,0)),"")</f>
        <v/>
      </c>
      <c r="Y270" s="97" t="str">
        <f t="array" ref="Y270">IFERROR(INDEX(DFD!$L$2:$L$1048790,MATCH($Q270,DFD!$B$2:$B$1048790,0)),"")</f>
        <v/>
      </c>
      <c r="Z270" s="97">
        <f t="shared" si="4"/>
        <v>45</v>
      </c>
      <c r="AA270" s="87"/>
      <c r="AB270" s="87" t="s">
        <v>72</v>
      </c>
      <c r="AC270" s="87"/>
      <c r="AD270" s="99">
        <v>46043.0</v>
      </c>
      <c r="AE270" s="119">
        <f t="shared" si="5"/>
        <v>1</v>
      </c>
    </row>
    <row r="271" ht="15.75" customHeight="1">
      <c r="A271" s="59"/>
      <c r="B271" s="59" t="s">
        <v>602</v>
      </c>
      <c r="C271" s="60" t="s">
        <v>1025</v>
      </c>
      <c r="D271" s="60" t="s">
        <v>51</v>
      </c>
      <c r="E271" s="60">
        <v>25.0</v>
      </c>
      <c r="F271" s="138">
        <v>20000.0</v>
      </c>
      <c r="G271" s="73" t="s">
        <v>53</v>
      </c>
      <c r="H271" s="74">
        <v>46235.0</v>
      </c>
      <c r="I271" s="67" t="s">
        <v>17</v>
      </c>
      <c r="J271" s="67" t="s">
        <v>54</v>
      </c>
      <c r="K271" s="67" t="s">
        <v>66</v>
      </c>
      <c r="L271" s="67" t="s">
        <v>56</v>
      </c>
      <c r="M271" s="67" t="s">
        <v>838</v>
      </c>
      <c r="N271" s="59" t="s">
        <v>20</v>
      </c>
      <c r="O271" s="59" t="s">
        <v>59</v>
      </c>
      <c r="P271" s="59"/>
      <c r="Q271" s="59" t="s">
        <v>1026</v>
      </c>
      <c r="R271" s="67" t="s">
        <v>1027</v>
      </c>
      <c r="S271" s="59"/>
      <c r="T271" s="59"/>
      <c r="U271" s="77" t="str">
        <f t="array" ref="U271">IFERROR(INDEX(DFD!$D$2:$D$1048791,MATCH($Q271,DFD!$B$2:$B$1048791,0)),"")</f>
        <v/>
      </c>
      <c r="V271" s="77" t="str">
        <f t="array" ref="V271">IFERROR(INDEX(DFD!$F$2:$F$1048791,MATCH($Q271,DFD!$B$2:$B$1048791,0)),"")</f>
        <v/>
      </c>
      <c r="W271" s="84" t="str">
        <f t="array" ref="W271">IFERROR(INDEX(DFD!$E$2:$E$1048791,MATCH($Q271,DFD!$B$2:$B$1048791,0)),"")</f>
        <v/>
      </c>
      <c r="X271" s="84" t="str">
        <f t="array" ref="X271">IFERROR(INDEX(DFD!$K$2:$K$1048791,MATCH($Q271,DFD!$B$2:$B$1048791,0)),"")</f>
        <v/>
      </c>
      <c r="Y271" s="84" t="str">
        <f t="array" ref="Y271">IFERROR(INDEX(DFD!$L$2:$L$1048790,MATCH($Q271,DFD!$B$2:$B$1048790,0)),"")</f>
        <v/>
      </c>
      <c r="Z271" s="84">
        <f t="shared" si="4"/>
        <v>45</v>
      </c>
      <c r="AA271" s="59"/>
      <c r="AB271" s="59" t="s">
        <v>72</v>
      </c>
      <c r="AC271" s="59"/>
      <c r="AD271" s="85">
        <v>46043.0</v>
      </c>
      <c r="AE271" s="114">
        <f t="shared" si="5"/>
        <v>1</v>
      </c>
    </row>
    <row r="272" ht="15.75" customHeight="1">
      <c r="A272" s="140"/>
      <c r="B272" s="140" t="s">
        <v>230</v>
      </c>
      <c r="C272" s="141" t="s">
        <v>1030</v>
      </c>
      <c r="D272" s="141" t="s">
        <v>51</v>
      </c>
      <c r="E272" s="141">
        <v>1.0</v>
      </c>
      <c r="F272" s="142">
        <v>200000.0</v>
      </c>
      <c r="G272" s="143" t="s">
        <v>53</v>
      </c>
      <c r="H272" s="144">
        <v>46266.0</v>
      </c>
      <c r="I272" s="140" t="s">
        <v>18</v>
      </c>
      <c r="J272" s="140" t="s">
        <v>54</v>
      </c>
      <c r="K272" s="140" t="s">
        <v>429</v>
      </c>
      <c r="L272" s="140" t="s">
        <v>56</v>
      </c>
      <c r="M272" s="140" t="s">
        <v>84</v>
      </c>
      <c r="N272" s="140" t="s">
        <v>20</v>
      </c>
      <c r="O272" s="145" t="s">
        <v>59</v>
      </c>
      <c r="P272" s="145"/>
      <c r="Q272" s="145" t="s">
        <v>1031</v>
      </c>
      <c r="R272" s="92" t="s">
        <v>154</v>
      </c>
      <c r="S272" s="87"/>
      <c r="T272" s="87"/>
      <c r="U272" s="146" t="s">
        <v>1032</v>
      </c>
      <c r="V272" s="94" t="str">
        <f t="array" ref="V272">IFERROR(INDEX(DFD!$F$2:$F$1048791,MATCH($Q272,DFD!$B$2:$B$1048791,0)),"")</f>
        <v/>
      </c>
      <c r="W272" s="97" t="str">
        <f t="array" ref="W272">IFERROR(INDEX(DFD!$E$2:$E$1048791,MATCH($Q272,DFD!$B$2:$B$1048791,0)),"")</f>
        <v/>
      </c>
      <c r="X272" s="97" t="str">
        <f t="array" ref="X272">IFERROR(INDEX(DFD!$K$2:$K$1048791,MATCH($Q272,DFD!$B$2:$B$1048791,0)),"")</f>
        <v/>
      </c>
      <c r="Y272" s="97" t="str">
        <f t="array" ref="Y272">IFERROR(INDEX(DFD!$L$2:$L$1048790,MATCH($Q272,DFD!$B$2:$B$1048790,0)),"")</f>
        <v/>
      </c>
      <c r="Z272" s="97">
        <f t="shared" si="4"/>
        <v>45</v>
      </c>
      <c r="AA272" s="87"/>
      <c r="AB272" s="87" t="s">
        <v>72</v>
      </c>
      <c r="AC272" s="87"/>
      <c r="AD272" s="99">
        <v>46043.0</v>
      </c>
      <c r="AE272" s="119">
        <f t="shared" si="5"/>
        <v>1</v>
      </c>
    </row>
    <row r="273" ht="15.75" customHeight="1">
      <c r="A273" s="67"/>
      <c r="B273" s="67" t="s">
        <v>427</v>
      </c>
      <c r="C273" s="81" t="s">
        <v>1035</v>
      </c>
      <c r="D273" s="81" t="s">
        <v>51</v>
      </c>
      <c r="E273" s="81">
        <v>1.0</v>
      </c>
      <c r="F273" s="113">
        <v>300000.0</v>
      </c>
      <c r="G273" s="73" t="s">
        <v>437</v>
      </c>
      <c r="H273" s="83">
        <v>46266.0</v>
      </c>
      <c r="I273" s="67" t="s">
        <v>18</v>
      </c>
      <c r="J273" s="67" t="s">
        <v>54</v>
      </c>
      <c r="K273" s="67" t="s">
        <v>429</v>
      </c>
      <c r="L273" s="67" t="s">
        <v>56</v>
      </c>
      <c r="M273" s="67" t="s">
        <v>84</v>
      </c>
      <c r="N273" s="67" t="s">
        <v>20</v>
      </c>
      <c r="O273" s="59" t="s">
        <v>59</v>
      </c>
      <c r="P273" s="59"/>
      <c r="Q273" s="59" t="s">
        <v>1037</v>
      </c>
      <c r="R273" s="67" t="s">
        <v>154</v>
      </c>
      <c r="S273" s="59"/>
      <c r="T273" s="59"/>
      <c r="U273" s="77" t="str">
        <f t="array" ref="U273">IFERROR(INDEX(DFD!$D$2:$D$1048791,MATCH($Q273,DFD!$B$2:$B$1048791,0)),"")</f>
        <v/>
      </c>
      <c r="V273" s="77" t="str">
        <f t="array" ref="V273">IFERROR(INDEX(DFD!$F$2:$F$1048791,MATCH($Q273,DFD!$B$2:$B$1048791,0)),"")</f>
        <v/>
      </c>
      <c r="W273" s="84" t="str">
        <f t="array" ref="W273">IFERROR(INDEX(DFD!$E$2:$E$1048791,MATCH($Q273,DFD!$B$2:$B$1048791,0)),"")</f>
        <v/>
      </c>
      <c r="X273" s="84" t="str">
        <f t="array" ref="X273">IFERROR(INDEX(DFD!$K$2:$K$1048791,MATCH($Q273,DFD!$B$2:$B$1048791,0)),"")</f>
        <v/>
      </c>
      <c r="Y273" s="84" t="str">
        <f t="array" ref="Y273">IFERROR(INDEX(DFD!$L$2:$L$1048790,MATCH($Q273,DFD!$B$2:$B$1048790,0)),"")</f>
        <v/>
      </c>
      <c r="Z273" s="84">
        <f t="shared" si="4"/>
        <v>45</v>
      </c>
      <c r="AA273" s="59"/>
      <c r="AB273" s="59" t="s">
        <v>72</v>
      </c>
      <c r="AC273" s="59"/>
      <c r="AD273" s="85">
        <v>46043.0</v>
      </c>
      <c r="AE273" s="114">
        <f t="shared" si="5"/>
        <v>1</v>
      </c>
    </row>
    <row r="274" ht="15.75" customHeight="1">
      <c r="A274" s="87"/>
      <c r="B274" s="87" t="s">
        <v>602</v>
      </c>
      <c r="C274" s="88" t="s">
        <v>1038</v>
      </c>
      <c r="D274" s="88" t="s">
        <v>51</v>
      </c>
      <c r="E274" s="88">
        <v>1.0</v>
      </c>
      <c r="F274" s="139">
        <v>20000.0</v>
      </c>
      <c r="G274" s="90" t="s">
        <v>53</v>
      </c>
      <c r="H274" s="91">
        <v>46235.0</v>
      </c>
      <c r="I274" s="92" t="s">
        <v>17</v>
      </c>
      <c r="J274" s="92" t="s">
        <v>54</v>
      </c>
      <c r="K274" s="92" t="s">
        <v>55</v>
      </c>
      <c r="L274" s="92" t="s">
        <v>56</v>
      </c>
      <c r="M274" s="92" t="s">
        <v>515</v>
      </c>
      <c r="N274" s="87" t="s">
        <v>20</v>
      </c>
      <c r="O274" s="87" t="s">
        <v>59</v>
      </c>
      <c r="P274" s="87"/>
      <c r="Q274" s="87" t="s">
        <v>1040</v>
      </c>
      <c r="R274" s="92" t="s">
        <v>61</v>
      </c>
      <c r="S274" s="87"/>
      <c r="T274" s="87"/>
      <c r="U274" s="94" t="str">
        <f t="array" ref="U274">IFERROR(INDEX(DFD!$D$2:$D$1048791,MATCH($Q274,DFD!$B$2:$B$1048791,0)),"")</f>
        <v/>
      </c>
      <c r="V274" s="94" t="str">
        <f t="array" ref="V274">IFERROR(INDEX(DFD!$F$2:$F$1048791,MATCH($Q274,DFD!$B$2:$B$1048791,0)),"")</f>
        <v/>
      </c>
      <c r="W274" s="97" t="str">
        <f t="array" ref="W274">IFERROR(INDEX(DFD!$E$2:$E$1048791,MATCH($Q274,DFD!$B$2:$B$1048791,0)),"")</f>
        <v/>
      </c>
      <c r="X274" s="97" t="str">
        <f t="array" ref="X274">IFERROR(INDEX(DFD!$K$2:$K$1048791,MATCH($Q274,DFD!$B$2:$B$1048791,0)),"")</f>
        <v/>
      </c>
      <c r="Y274" s="97" t="str">
        <f t="array" ref="Y274">IFERROR(INDEX(DFD!$L$2:$L$1048790,MATCH($Q274,DFD!$B$2:$B$1048790,0)),"")</f>
        <v/>
      </c>
      <c r="Z274" s="97">
        <f t="shared" si="4"/>
        <v>45</v>
      </c>
      <c r="AA274" s="87"/>
      <c r="AB274" s="87" t="s">
        <v>72</v>
      </c>
      <c r="AC274" s="87"/>
      <c r="AD274" s="99">
        <v>46043.0</v>
      </c>
      <c r="AE274" s="119">
        <f t="shared" si="5"/>
        <v>1</v>
      </c>
    </row>
    <row r="275" ht="15.75" customHeight="1">
      <c r="A275" s="120"/>
      <c r="B275" s="67" t="s">
        <v>386</v>
      </c>
      <c r="C275" s="60" t="s">
        <v>1041</v>
      </c>
      <c r="D275" s="81" t="s">
        <v>51</v>
      </c>
      <c r="E275" s="81">
        <v>1.0</v>
      </c>
      <c r="F275" s="113">
        <v>25000.0</v>
      </c>
      <c r="G275" s="73" t="s">
        <v>53</v>
      </c>
      <c r="H275" s="83">
        <v>46235.0</v>
      </c>
      <c r="I275" s="67" t="s">
        <v>18</v>
      </c>
      <c r="J275" s="67" t="s">
        <v>54</v>
      </c>
      <c r="K275" s="67" t="s">
        <v>83</v>
      </c>
      <c r="L275" s="67" t="s">
        <v>197</v>
      </c>
      <c r="M275" s="67" t="s">
        <v>84</v>
      </c>
      <c r="N275" s="67" t="s">
        <v>20</v>
      </c>
      <c r="O275" s="59" t="s">
        <v>59</v>
      </c>
      <c r="P275" s="59"/>
      <c r="Q275" s="59" t="s">
        <v>1043</v>
      </c>
      <c r="R275" s="67" t="s">
        <v>435</v>
      </c>
      <c r="S275" s="59"/>
      <c r="T275" s="59"/>
      <c r="U275" s="77" t="str">
        <f t="array" ref="U275">IFERROR(INDEX(DFD!$D$2:$D$1048791,MATCH($Q275,DFD!$B$2:$B$1048791,0)),"")</f>
        <v/>
      </c>
      <c r="V275" s="77" t="str">
        <f t="array" ref="V275">IFERROR(INDEX(DFD!$F$2:$F$1048791,MATCH($Q275,DFD!$B$2:$B$1048791,0)),"")</f>
        <v/>
      </c>
      <c r="W275" s="84" t="str">
        <f t="array" ref="W275">IFERROR(INDEX(DFD!$E$2:$E$1048791,MATCH($Q275,DFD!$B$2:$B$1048791,0)),"")</f>
        <v/>
      </c>
      <c r="X275" s="84" t="str">
        <f t="array" ref="X275">IFERROR(INDEX(DFD!$K$2:$K$1048791,MATCH($Q275,DFD!$B$2:$B$1048791,0)),"")</f>
        <v/>
      </c>
      <c r="Y275" s="84" t="str">
        <f t="array" ref="Y275">IFERROR(INDEX(DFD!$L$2:$L$1048790,MATCH($Q275,DFD!$B$2:$B$1048790,0)),"")</f>
        <v/>
      </c>
      <c r="Z275" s="84">
        <f t="shared" si="4"/>
        <v>45</v>
      </c>
      <c r="AA275" s="59"/>
      <c r="AB275" s="59" t="s">
        <v>72</v>
      </c>
      <c r="AC275" s="59"/>
      <c r="AD275" s="85">
        <v>46043.0</v>
      </c>
      <c r="AE275" s="114">
        <f t="shared" si="5"/>
        <v>1</v>
      </c>
    </row>
    <row r="276" ht="15.75" customHeight="1">
      <c r="A276" s="92"/>
      <c r="B276" s="92" t="s">
        <v>87</v>
      </c>
      <c r="C276" s="116" t="s">
        <v>1045</v>
      </c>
      <c r="D276" s="116" t="s">
        <v>51</v>
      </c>
      <c r="E276" s="116">
        <v>1.0</v>
      </c>
      <c r="F276" s="117">
        <v>800.0</v>
      </c>
      <c r="G276" s="90" t="s">
        <v>53</v>
      </c>
      <c r="H276" s="118">
        <v>46174.0</v>
      </c>
      <c r="I276" s="92" t="s">
        <v>18</v>
      </c>
      <c r="J276" s="92" t="s">
        <v>54</v>
      </c>
      <c r="K276" s="92" t="s">
        <v>83</v>
      </c>
      <c r="L276" s="92" t="s">
        <v>56</v>
      </c>
      <c r="M276" s="92" t="s">
        <v>84</v>
      </c>
      <c r="N276" s="92" t="s">
        <v>20</v>
      </c>
      <c r="O276" s="87" t="s">
        <v>59</v>
      </c>
      <c r="P276" s="87"/>
      <c r="Q276" s="87" t="s">
        <v>1046</v>
      </c>
      <c r="R276" s="92" t="s">
        <v>531</v>
      </c>
      <c r="S276" s="87"/>
      <c r="T276" s="87"/>
      <c r="U276" s="94" t="str">
        <f t="array" ref="U276">IFERROR(INDEX(DFD!$D$2:$D$1048791,MATCH($Q276,DFD!$B$2:$B$1048791,0)),"")</f>
        <v/>
      </c>
      <c r="V276" s="94" t="str">
        <f t="array" ref="V276">IFERROR(INDEX(DFD!$F$2:$F$1048791,MATCH($Q276,DFD!$B$2:$B$1048791,0)),"")</f>
        <v/>
      </c>
      <c r="W276" s="97" t="str">
        <f t="array" ref="W276">IFERROR(INDEX(DFD!$E$2:$E$1048791,MATCH($Q276,DFD!$B$2:$B$1048791,0)),"")</f>
        <v/>
      </c>
      <c r="X276" s="97" t="str">
        <f t="array" ref="X276">IFERROR(INDEX(DFD!$K$2:$K$1048791,MATCH($Q276,DFD!$B$2:$B$1048791,0)),"")</f>
        <v/>
      </c>
      <c r="Y276" s="97" t="str">
        <f t="array" ref="Y276">IFERROR(INDEX(DFD!$L$2:$L$1048790,MATCH($Q276,DFD!$B$2:$B$1048790,0)),"")</f>
        <v/>
      </c>
      <c r="Z276" s="97">
        <f t="shared" si="4"/>
        <v>45</v>
      </c>
      <c r="AA276" s="87"/>
      <c r="AB276" s="87" t="s">
        <v>72</v>
      </c>
      <c r="AC276" s="87"/>
      <c r="AD276" s="99">
        <v>46043.0</v>
      </c>
      <c r="AE276" s="119">
        <f t="shared" si="5"/>
        <v>1</v>
      </c>
    </row>
    <row r="277" ht="15.75" customHeight="1">
      <c r="A277" s="67"/>
      <c r="B277" s="67" t="s">
        <v>602</v>
      </c>
      <c r="C277" s="81" t="s">
        <v>1049</v>
      </c>
      <c r="D277" s="81" t="s">
        <v>51</v>
      </c>
      <c r="E277" s="81">
        <v>10.0</v>
      </c>
      <c r="F277" s="113">
        <v>9000.0</v>
      </c>
      <c r="G277" s="73" t="s">
        <v>53</v>
      </c>
      <c r="H277" s="83">
        <v>46204.0</v>
      </c>
      <c r="I277" s="67" t="s">
        <v>18</v>
      </c>
      <c r="J277" s="67" t="s">
        <v>54</v>
      </c>
      <c r="K277" s="67" t="s">
        <v>83</v>
      </c>
      <c r="L277" s="67" t="s">
        <v>56</v>
      </c>
      <c r="M277" s="67" t="s">
        <v>84</v>
      </c>
      <c r="N277" s="67" t="s">
        <v>20</v>
      </c>
      <c r="O277" s="59" t="s">
        <v>59</v>
      </c>
      <c r="P277" s="59"/>
      <c r="Q277" s="59" t="s">
        <v>1046</v>
      </c>
      <c r="R277" s="67" t="s">
        <v>531</v>
      </c>
      <c r="S277" s="59"/>
      <c r="T277" s="59"/>
      <c r="U277" s="77" t="str">
        <f t="array" ref="U277">IFERROR(INDEX(DFD!$D$2:$D$1048791,MATCH($Q277,DFD!$B$2:$B$1048791,0)),"")</f>
        <v/>
      </c>
      <c r="V277" s="77" t="str">
        <f t="array" ref="V277">IFERROR(INDEX(DFD!$F$2:$F$1048791,MATCH($Q277,DFD!$B$2:$B$1048791,0)),"")</f>
        <v/>
      </c>
      <c r="W277" s="84" t="str">
        <f t="array" ref="W277">IFERROR(INDEX(DFD!$E$2:$E$1048791,MATCH($Q277,DFD!$B$2:$B$1048791,0)),"")</f>
        <v/>
      </c>
      <c r="X277" s="84" t="str">
        <f t="array" ref="X277">IFERROR(INDEX(DFD!$K$2:$K$1048791,MATCH($Q277,DFD!$B$2:$B$1048791,0)),"")</f>
        <v/>
      </c>
      <c r="Y277" s="84" t="str">
        <f t="array" ref="Y277">IFERROR(INDEX(DFD!$L$2:$L$1048790,MATCH($Q277,DFD!$B$2:$B$1048790,0)),"")</f>
        <v/>
      </c>
      <c r="Z277" s="84">
        <f t="shared" si="4"/>
        <v>45</v>
      </c>
      <c r="AA277" s="59"/>
      <c r="AB277" s="59" t="s">
        <v>72</v>
      </c>
      <c r="AC277" s="59"/>
      <c r="AD277" s="85">
        <v>46043.0</v>
      </c>
      <c r="AE277" s="114">
        <f t="shared" si="5"/>
        <v>1</v>
      </c>
    </row>
    <row r="278" ht="15.75" customHeight="1">
      <c r="A278" s="92"/>
      <c r="B278" s="92" t="s">
        <v>99</v>
      </c>
      <c r="C278" s="116" t="s">
        <v>1050</v>
      </c>
      <c r="D278" s="116" t="s">
        <v>51</v>
      </c>
      <c r="E278" s="116">
        <v>2.0</v>
      </c>
      <c r="F278" s="117">
        <v>442.0</v>
      </c>
      <c r="G278" s="90" t="s">
        <v>53</v>
      </c>
      <c r="H278" s="118">
        <v>46174.0</v>
      </c>
      <c r="I278" s="92" t="s">
        <v>18</v>
      </c>
      <c r="J278" s="92" t="s">
        <v>54</v>
      </c>
      <c r="K278" s="92" t="s">
        <v>83</v>
      </c>
      <c r="L278" s="92" t="s">
        <v>197</v>
      </c>
      <c r="M278" s="92" t="s">
        <v>84</v>
      </c>
      <c r="N278" s="92" t="s">
        <v>20</v>
      </c>
      <c r="O278" s="87" t="s">
        <v>59</v>
      </c>
      <c r="P278" s="87"/>
      <c r="Q278" s="87" t="s">
        <v>1053</v>
      </c>
      <c r="R278" s="92" t="s">
        <v>1054</v>
      </c>
      <c r="S278" s="87"/>
      <c r="T278" s="87"/>
      <c r="U278" s="94" t="str">
        <f t="array" ref="U278">IFERROR(INDEX(DFD!$D$2:$D$1048791,MATCH($Q278,DFD!$B$2:$B$1048791,0)),"")</f>
        <v/>
      </c>
      <c r="V278" s="94" t="str">
        <f t="array" ref="V278">IFERROR(INDEX(DFD!$F$2:$F$1048791,MATCH($Q278,DFD!$B$2:$B$1048791,0)),"")</f>
        <v/>
      </c>
      <c r="W278" s="97" t="str">
        <f t="array" ref="W278">IFERROR(INDEX(DFD!$E$2:$E$1048791,MATCH($Q278,DFD!$B$2:$B$1048791,0)),"")</f>
        <v/>
      </c>
      <c r="X278" s="97" t="str">
        <f t="array" ref="X278">IFERROR(INDEX(DFD!$K$2:$K$1048791,MATCH($Q278,DFD!$B$2:$B$1048791,0)),"")</f>
        <v/>
      </c>
      <c r="Y278" s="97" t="str">
        <f t="array" ref="Y278">IFERROR(INDEX(DFD!$L$2:$L$1048790,MATCH($Q278,DFD!$B$2:$B$1048790,0)),"")</f>
        <v/>
      </c>
      <c r="Z278" s="97">
        <f t="shared" si="4"/>
        <v>45</v>
      </c>
      <c r="AA278" s="87"/>
      <c r="AB278" s="87" t="s">
        <v>72</v>
      </c>
      <c r="AC278" s="87"/>
      <c r="AD278" s="99">
        <v>46043.0</v>
      </c>
      <c r="AE278" s="119">
        <f t="shared" si="5"/>
        <v>1</v>
      </c>
    </row>
    <row r="279" ht="15.75" customHeight="1">
      <c r="A279" s="67"/>
      <c r="B279" s="67" t="s">
        <v>99</v>
      </c>
      <c r="C279" s="81" t="s">
        <v>1055</v>
      </c>
      <c r="D279" s="81" t="s">
        <v>51</v>
      </c>
      <c r="E279" s="81">
        <v>1.0</v>
      </c>
      <c r="F279" s="113">
        <v>2600.0</v>
      </c>
      <c r="G279" s="73" t="s">
        <v>53</v>
      </c>
      <c r="H279" s="83">
        <v>46174.0</v>
      </c>
      <c r="I279" s="67" t="s">
        <v>18</v>
      </c>
      <c r="J279" s="67" t="s">
        <v>54</v>
      </c>
      <c r="K279" s="67" t="s">
        <v>83</v>
      </c>
      <c r="L279" s="67" t="s">
        <v>56</v>
      </c>
      <c r="M279" s="67" t="s">
        <v>84</v>
      </c>
      <c r="N279" s="67" t="s">
        <v>20</v>
      </c>
      <c r="O279" s="59" t="s">
        <v>59</v>
      </c>
      <c r="P279" s="59"/>
      <c r="Q279" s="59" t="s">
        <v>1053</v>
      </c>
      <c r="R279" s="67" t="s">
        <v>531</v>
      </c>
      <c r="S279" s="59"/>
      <c r="T279" s="59"/>
      <c r="U279" s="77" t="str">
        <f t="array" ref="U279">IFERROR(INDEX(DFD!$D$2:$D$1048791,MATCH($Q279,DFD!$B$2:$B$1048791,0)),"")</f>
        <v/>
      </c>
      <c r="V279" s="77" t="str">
        <f t="array" ref="V279">IFERROR(INDEX(DFD!$F$2:$F$1048791,MATCH($Q279,DFD!$B$2:$B$1048791,0)),"")</f>
        <v/>
      </c>
      <c r="W279" s="84" t="str">
        <f t="array" ref="W279">IFERROR(INDEX(DFD!$E$2:$E$1048791,MATCH($Q279,DFD!$B$2:$B$1048791,0)),"")</f>
        <v/>
      </c>
      <c r="X279" s="84" t="str">
        <f t="array" ref="X279">IFERROR(INDEX(DFD!$K$2:$K$1048791,MATCH($Q279,DFD!$B$2:$B$1048791,0)),"")</f>
        <v/>
      </c>
      <c r="Y279" s="84" t="str">
        <f t="array" ref="Y279">IFERROR(INDEX(DFD!$L$2:$L$1048790,MATCH($Q279,DFD!$B$2:$B$1048790,0)),"")</f>
        <v/>
      </c>
      <c r="Z279" s="84">
        <f t="shared" si="4"/>
        <v>45</v>
      </c>
      <c r="AA279" s="59"/>
      <c r="AB279" s="59" t="s">
        <v>72</v>
      </c>
      <c r="AC279" s="59"/>
      <c r="AD279" s="85">
        <v>46043.0</v>
      </c>
      <c r="AE279" s="114">
        <f t="shared" si="5"/>
        <v>1</v>
      </c>
    </row>
    <row r="280" ht="15.75" customHeight="1">
      <c r="A280" s="92"/>
      <c r="B280" s="92" t="s">
        <v>386</v>
      </c>
      <c r="C280" s="116" t="s">
        <v>1058</v>
      </c>
      <c r="D280" s="116" t="s">
        <v>51</v>
      </c>
      <c r="E280" s="116">
        <v>2.0</v>
      </c>
      <c r="F280" s="117">
        <v>3000.0</v>
      </c>
      <c r="G280" s="90" t="s">
        <v>53</v>
      </c>
      <c r="H280" s="118">
        <v>46174.0</v>
      </c>
      <c r="I280" s="92" t="s">
        <v>18</v>
      </c>
      <c r="J280" s="92" t="s">
        <v>54</v>
      </c>
      <c r="K280" s="92" t="s">
        <v>83</v>
      </c>
      <c r="L280" s="92" t="s">
        <v>56</v>
      </c>
      <c r="M280" s="92" t="s">
        <v>84</v>
      </c>
      <c r="N280" s="92" t="s">
        <v>20</v>
      </c>
      <c r="O280" s="87" t="s">
        <v>59</v>
      </c>
      <c r="P280" s="87"/>
      <c r="Q280" s="87" t="s">
        <v>1059</v>
      </c>
      <c r="R280" s="92" t="s">
        <v>725</v>
      </c>
      <c r="S280" s="87"/>
      <c r="T280" s="87"/>
      <c r="U280" s="94" t="str">
        <f t="array" ref="U280">IFERROR(INDEX(DFD!$D$2:$D$1048791,MATCH($Q280,DFD!$B$2:$B$1048791,0)),"")</f>
        <v/>
      </c>
      <c r="V280" s="94" t="str">
        <f t="array" ref="V280">IFERROR(INDEX(DFD!$F$2:$F$1048791,MATCH($Q280,DFD!$B$2:$B$1048791,0)),"")</f>
        <v/>
      </c>
      <c r="W280" s="97" t="str">
        <f t="array" ref="W280">IFERROR(INDEX(DFD!$E$2:$E$1048791,MATCH($Q280,DFD!$B$2:$B$1048791,0)),"")</f>
        <v/>
      </c>
      <c r="X280" s="97" t="str">
        <f t="array" ref="X280">IFERROR(INDEX(DFD!$K$2:$K$1048791,MATCH($Q280,DFD!$B$2:$B$1048791,0)),"")</f>
        <v/>
      </c>
      <c r="Y280" s="97" t="str">
        <f t="array" ref="Y280">IFERROR(INDEX(DFD!$L$2:$L$1048790,MATCH($Q280,DFD!$B$2:$B$1048790,0)),"")</f>
        <v/>
      </c>
      <c r="Z280" s="97">
        <f t="shared" si="4"/>
        <v>45</v>
      </c>
      <c r="AA280" s="87"/>
      <c r="AB280" s="87" t="s">
        <v>72</v>
      </c>
      <c r="AC280" s="87"/>
      <c r="AD280" s="99">
        <v>46043.0</v>
      </c>
      <c r="AE280" s="119">
        <f t="shared" si="5"/>
        <v>1</v>
      </c>
    </row>
    <row r="281" ht="15.75" customHeight="1">
      <c r="A281" s="59"/>
      <c r="B281" s="59" t="s">
        <v>101</v>
      </c>
      <c r="C281" s="60" t="s">
        <v>1063</v>
      </c>
      <c r="D281" s="60" t="s">
        <v>51</v>
      </c>
      <c r="E281" s="60">
        <v>4.0</v>
      </c>
      <c r="F281" s="138">
        <v>24000.0</v>
      </c>
      <c r="G281" s="73" t="s">
        <v>53</v>
      </c>
      <c r="H281" s="74">
        <v>46235.0</v>
      </c>
      <c r="I281" s="67" t="s">
        <v>18</v>
      </c>
      <c r="J281" s="67" t="s">
        <v>54</v>
      </c>
      <c r="K281" s="67" t="s">
        <v>66</v>
      </c>
      <c r="L281" s="67" t="s">
        <v>56</v>
      </c>
      <c r="M281" s="67" t="s">
        <v>515</v>
      </c>
      <c r="N281" s="59" t="s">
        <v>20</v>
      </c>
      <c r="O281" s="59" t="s">
        <v>59</v>
      </c>
      <c r="P281" s="59"/>
      <c r="Q281" s="59" t="s">
        <v>1059</v>
      </c>
      <c r="R281" s="67" t="s">
        <v>725</v>
      </c>
      <c r="S281" s="59"/>
      <c r="T281" s="59"/>
      <c r="U281" s="77" t="str">
        <f t="array" ref="U281">IFERROR(INDEX(DFD!$D$2:$D$1048791,MATCH($Q281,DFD!$B$2:$B$1048791,0)),"")</f>
        <v/>
      </c>
      <c r="V281" s="77" t="str">
        <f t="array" ref="V281">IFERROR(INDEX(DFD!$F$2:$F$1048791,MATCH($Q281,DFD!$B$2:$B$1048791,0)),"")</f>
        <v/>
      </c>
      <c r="W281" s="84" t="str">
        <f t="array" ref="W281">IFERROR(INDEX(DFD!$E$2:$E$1048791,MATCH($Q281,DFD!$B$2:$B$1048791,0)),"")</f>
        <v/>
      </c>
      <c r="X281" s="84" t="str">
        <f t="array" ref="X281">IFERROR(INDEX(DFD!$K$2:$K$1048791,MATCH($Q281,DFD!$B$2:$B$1048791,0)),"")</f>
        <v/>
      </c>
      <c r="Y281" s="84" t="str">
        <f t="array" ref="Y281">IFERROR(INDEX(DFD!$L$2:$L$1048790,MATCH($Q281,DFD!$B$2:$B$1048790,0)),"")</f>
        <v/>
      </c>
      <c r="Z281" s="84">
        <f t="shared" si="4"/>
        <v>45</v>
      </c>
      <c r="AA281" s="59"/>
      <c r="AB281" s="59" t="s">
        <v>72</v>
      </c>
      <c r="AC281" s="59"/>
      <c r="AD281" s="85">
        <v>46043.0</v>
      </c>
      <c r="AE281" s="114">
        <f t="shared" si="5"/>
        <v>1</v>
      </c>
    </row>
    <row r="282" ht="15.75" customHeight="1">
      <c r="A282" s="92"/>
      <c r="B282" s="92" t="s">
        <v>386</v>
      </c>
      <c r="C282" s="116" t="s">
        <v>1068</v>
      </c>
      <c r="D282" s="116" t="s">
        <v>51</v>
      </c>
      <c r="E282" s="116">
        <v>1.0</v>
      </c>
      <c r="F282" s="117">
        <v>6000.0</v>
      </c>
      <c r="G282" s="90" t="s">
        <v>53</v>
      </c>
      <c r="H282" s="118">
        <v>46204.0</v>
      </c>
      <c r="I282" s="92" t="s">
        <v>18</v>
      </c>
      <c r="J282" s="92" t="s">
        <v>54</v>
      </c>
      <c r="K282" s="92" t="s">
        <v>83</v>
      </c>
      <c r="L282" s="92" t="s">
        <v>56</v>
      </c>
      <c r="M282" s="92" t="s">
        <v>84</v>
      </c>
      <c r="N282" s="92" t="s">
        <v>20</v>
      </c>
      <c r="O282" s="87" t="s">
        <v>59</v>
      </c>
      <c r="P282" s="87"/>
      <c r="Q282" s="87" t="s">
        <v>1069</v>
      </c>
      <c r="R282" s="92" t="s">
        <v>323</v>
      </c>
      <c r="S282" s="87"/>
      <c r="T282" s="87"/>
      <c r="U282" s="94" t="str">
        <f t="array" ref="U282">IFERROR(INDEX(DFD!$D$2:$D$1048791,MATCH($Q282,DFD!$B$2:$B$1048791,0)),"")</f>
        <v/>
      </c>
      <c r="V282" s="94" t="str">
        <f t="array" ref="V282">IFERROR(INDEX(DFD!$F$2:$F$1048791,MATCH($Q282,DFD!$B$2:$B$1048791,0)),"")</f>
        <v/>
      </c>
      <c r="W282" s="97" t="str">
        <f t="array" ref="W282">IFERROR(INDEX(DFD!$E$2:$E$1048791,MATCH($Q282,DFD!$B$2:$B$1048791,0)),"")</f>
        <v/>
      </c>
      <c r="X282" s="97" t="str">
        <f t="array" ref="X282">IFERROR(INDEX(DFD!$K$2:$K$1048791,MATCH($Q282,DFD!$B$2:$B$1048791,0)),"")</f>
        <v/>
      </c>
      <c r="Y282" s="97" t="str">
        <f t="array" ref="Y282">IFERROR(INDEX(DFD!$L$2:$L$1048790,MATCH($Q282,DFD!$B$2:$B$1048790,0)),"")</f>
        <v/>
      </c>
      <c r="Z282" s="97">
        <f t="shared" si="4"/>
        <v>45</v>
      </c>
      <c r="AA282" s="87"/>
      <c r="AB282" s="87" t="s">
        <v>72</v>
      </c>
      <c r="AC282" s="87"/>
      <c r="AD282" s="99">
        <v>46043.0</v>
      </c>
      <c r="AE282" s="119">
        <f t="shared" si="5"/>
        <v>1</v>
      </c>
    </row>
    <row r="283" ht="15.75" customHeight="1">
      <c r="A283" s="67"/>
      <c r="B283" s="67" t="s">
        <v>386</v>
      </c>
      <c r="C283" s="81" t="s">
        <v>1073</v>
      </c>
      <c r="D283" s="81" t="s">
        <v>51</v>
      </c>
      <c r="E283" s="81">
        <v>1.0</v>
      </c>
      <c r="F283" s="113">
        <v>1500.0</v>
      </c>
      <c r="G283" s="73" t="s">
        <v>53</v>
      </c>
      <c r="H283" s="83">
        <v>46174.0</v>
      </c>
      <c r="I283" s="67" t="s">
        <v>18</v>
      </c>
      <c r="J283" s="67" t="s">
        <v>54</v>
      </c>
      <c r="K283" s="67" t="s">
        <v>83</v>
      </c>
      <c r="L283" s="67" t="s">
        <v>197</v>
      </c>
      <c r="M283" s="67" t="s">
        <v>84</v>
      </c>
      <c r="N283" s="67" t="s">
        <v>20</v>
      </c>
      <c r="O283" s="59" t="s">
        <v>59</v>
      </c>
      <c r="P283" s="59"/>
      <c r="Q283" s="59" t="s">
        <v>1069</v>
      </c>
      <c r="R283" s="67" t="s">
        <v>323</v>
      </c>
      <c r="S283" s="59"/>
      <c r="T283" s="59"/>
      <c r="U283" s="77" t="str">
        <f t="array" ref="U283">IFERROR(INDEX(DFD!$D$2:$D$1048791,MATCH($Q283,DFD!$B$2:$B$1048791,0)),"")</f>
        <v/>
      </c>
      <c r="V283" s="77" t="str">
        <f t="array" ref="V283">IFERROR(INDEX(DFD!$F$2:$F$1048791,MATCH($Q283,DFD!$B$2:$B$1048791,0)),"")</f>
        <v/>
      </c>
      <c r="W283" s="84" t="str">
        <f t="array" ref="W283">IFERROR(INDEX(DFD!$E$2:$E$1048791,MATCH($Q283,DFD!$B$2:$B$1048791,0)),"")</f>
        <v/>
      </c>
      <c r="X283" s="84" t="str">
        <f t="array" ref="X283">IFERROR(INDEX(DFD!$K$2:$K$1048791,MATCH($Q283,DFD!$B$2:$B$1048791,0)),"")</f>
        <v/>
      </c>
      <c r="Y283" s="84" t="str">
        <f t="array" ref="Y283">IFERROR(INDEX(DFD!$L$2:$L$1048790,MATCH($Q283,DFD!$B$2:$B$1048790,0)),"")</f>
        <v/>
      </c>
      <c r="Z283" s="84">
        <f t="shared" si="4"/>
        <v>45</v>
      </c>
      <c r="AA283" s="59"/>
      <c r="AB283" s="59" t="s">
        <v>72</v>
      </c>
      <c r="AC283" s="59"/>
      <c r="AD283" s="85">
        <v>46043.0</v>
      </c>
      <c r="AE283" s="114">
        <f t="shared" si="5"/>
        <v>1</v>
      </c>
    </row>
    <row r="284" ht="15.75" customHeight="1">
      <c r="A284" s="87"/>
      <c r="B284" s="87" t="s">
        <v>101</v>
      </c>
      <c r="C284" s="88" t="s">
        <v>1078</v>
      </c>
      <c r="D284" s="88" t="s">
        <v>51</v>
      </c>
      <c r="E284" s="88">
        <v>2.0</v>
      </c>
      <c r="F284" s="139">
        <v>2400.0</v>
      </c>
      <c r="G284" s="90" t="s">
        <v>53</v>
      </c>
      <c r="H284" s="91">
        <v>46174.0</v>
      </c>
      <c r="I284" s="92" t="s">
        <v>17</v>
      </c>
      <c r="J284" s="92" t="s">
        <v>54</v>
      </c>
      <c r="K284" s="92" t="s">
        <v>66</v>
      </c>
      <c r="L284" s="92" t="s">
        <v>56</v>
      </c>
      <c r="M284" s="92" t="s">
        <v>448</v>
      </c>
      <c r="N284" s="87" t="s">
        <v>20</v>
      </c>
      <c r="O284" s="87" t="s">
        <v>59</v>
      </c>
      <c r="P284" s="87"/>
      <c r="Q284" s="87" t="s">
        <v>1079</v>
      </c>
      <c r="R284" s="92" t="s">
        <v>71</v>
      </c>
      <c r="S284" s="87"/>
      <c r="T284" s="87"/>
      <c r="U284" s="94" t="str">
        <f t="array" ref="U284">IFERROR(INDEX(DFD!$D$2:$D$1048791,MATCH($Q284,DFD!$B$2:$B$1048791,0)),"")</f>
        <v/>
      </c>
      <c r="V284" s="94" t="str">
        <f t="array" ref="V284">IFERROR(INDEX(DFD!$F$2:$F$1048791,MATCH($Q284,DFD!$B$2:$B$1048791,0)),"")</f>
        <v/>
      </c>
      <c r="W284" s="97" t="str">
        <f t="array" ref="W284">IFERROR(INDEX(DFD!$E$2:$E$1048791,MATCH($Q284,DFD!$B$2:$B$1048791,0)),"")</f>
        <v/>
      </c>
      <c r="X284" s="97" t="str">
        <f t="array" ref="X284">IFERROR(INDEX(DFD!$K$2:$K$1048791,MATCH($Q284,DFD!$B$2:$B$1048791,0)),"")</f>
        <v/>
      </c>
      <c r="Y284" s="97" t="str">
        <f t="array" ref="Y284">IFERROR(INDEX(DFD!$L$2:$L$1048790,MATCH($Q284,DFD!$B$2:$B$1048790,0)),"")</f>
        <v/>
      </c>
      <c r="Z284" s="97">
        <f t="shared" si="4"/>
        <v>45</v>
      </c>
      <c r="AA284" s="87"/>
      <c r="AB284" s="87" t="s">
        <v>72</v>
      </c>
      <c r="AC284" s="87"/>
      <c r="AD284" s="99">
        <v>46043.0</v>
      </c>
      <c r="AE284" s="119">
        <f t="shared" si="5"/>
        <v>1</v>
      </c>
    </row>
    <row r="285" ht="15.75" customHeight="1">
      <c r="A285" s="59"/>
      <c r="B285" s="59" t="s">
        <v>355</v>
      </c>
      <c r="C285" s="60" t="s">
        <v>1082</v>
      </c>
      <c r="D285" s="60" t="s">
        <v>51</v>
      </c>
      <c r="E285" s="60">
        <v>25.0</v>
      </c>
      <c r="F285" s="138">
        <v>10000.0</v>
      </c>
      <c r="G285" s="73" t="s">
        <v>53</v>
      </c>
      <c r="H285" s="74"/>
      <c r="I285" s="67" t="s">
        <v>17</v>
      </c>
      <c r="J285" s="67"/>
      <c r="K285" s="67"/>
      <c r="L285" s="67"/>
      <c r="M285" s="67" t="s">
        <v>75</v>
      </c>
      <c r="N285" s="59" t="s">
        <v>20</v>
      </c>
      <c r="O285" s="59" t="s">
        <v>59</v>
      </c>
      <c r="P285" s="59"/>
      <c r="Q285" s="59" t="s">
        <v>1079</v>
      </c>
      <c r="R285" s="67" t="s">
        <v>71</v>
      </c>
      <c r="S285" s="59"/>
      <c r="T285" s="59"/>
      <c r="U285" s="77" t="str">
        <f t="array" ref="U285">IFERROR(INDEX(DFD!$D$2:$D$1048791,MATCH($Q285,DFD!$B$2:$B$1048791,0)),"")</f>
        <v/>
      </c>
      <c r="V285" s="77" t="str">
        <f t="array" ref="V285">IFERROR(INDEX(DFD!$F$2:$F$1048791,MATCH($Q285,DFD!$B$2:$B$1048791,0)),"")</f>
        <v/>
      </c>
      <c r="W285" s="84" t="str">
        <f t="array" ref="W285">IFERROR(INDEX(DFD!$E$2:$E$1048791,MATCH($Q285,DFD!$B$2:$B$1048791,0)),"")</f>
        <v/>
      </c>
      <c r="X285" s="84" t="str">
        <f t="array" ref="X285">IFERROR(INDEX(DFD!$K$2:$K$1048791,MATCH($Q285,DFD!$B$2:$B$1048791,0)),"")</f>
        <v/>
      </c>
      <c r="Y285" s="84" t="str">
        <f t="array" ref="Y285">IFERROR(INDEX(DFD!$L$2:$L$1048790,MATCH($Q285,DFD!$B$2:$B$1048790,0)),"")</f>
        <v/>
      </c>
      <c r="Z285" s="84">
        <f t="shared" si="4"/>
        <v>45</v>
      </c>
      <c r="AA285" s="59"/>
      <c r="AB285" s="59" t="s">
        <v>72</v>
      </c>
      <c r="AC285" s="59"/>
      <c r="AD285" s="85">
        <v>46043.0</v>
      </c>
      <c r="AE285" s="114">
        <f t="shared" si="5"/>
        <v>1</v>
      </c>
    </row>
    <row r="286" ht="15.75" customHeight="1">
      <c r="A286" s="92"/>
      <c r="B286" s="92" t="s">
        <v>101</v>
      </c>
      <c r="C286" s="116" t="s">
        <v>821</v>
      </c>
      <c r="D286" s="116" t="s">
        <v>51</v>
      </c>
      <c r="E286" s="116">
        <v>1.0</v>
      </c>
      <c r="F286" s="117">
        <v>360.0</v>
      </c>
      <c r="G286" s="90" t="s">
        <v>53</v>
      </c>
      <c r="H286" s="118">
        <v>46235.0</v>
      </c>
      <c r="I286" s="92" t="s">
        <v>17</v>
      </c>
      <c r="J286" s="92" t="s">
        <v>54</v>
      </c>
      <c r="K286" s="92" t="s">
        <v>83</v>
      </c>
      <c r="L286" s="92" t="s">
        <v>56</v>
      </c>
      <c r="M286" s="92" t="s">
        <v>84</v>
      </c>
      <c r="N286" s="92" t="s">
        <v>20</v>
      </c>
      <c r="O286" s="87" t="s">
        <v>59</v>
      </c>
      <c r="P286" s="87"/>
      <c r="Q286" s="87" t="s">
        <v>1085</v>
      </c>
      <c r="R286" s="92" t="s">
        <v>71</v>
      </c>
      <c r="S286" s="87"/>
      <c r="T286" s="87"/>
      <c r="U286" s="94" t="str">
        <f t="array" ref="U286">IFERROR(INDEX(DFD!$D$2:$D$1048791,MATCH($Q286,DFD!$B$2:$B$1048791,0)),"")</f>
        <v/>
      </c>
      <c r="V286" s="94" t="str">
        <f t="array" ref="V286">IFERROR(INDEX(DFD!$F$2:$F$1048791,MATCH($Q286,DFD!$B$2:$B$1048791,0)),"")</f>
        <v/>
      </c>
      <c r="W286" s="97" t="str">
        <f t="array" ref="W286">IFERROR(INDEX(DFD!$E$2:$E$1048791,MATCH($Q286,DFD!$B$2:$B$1048791,0)),"")</f>
        <v/>
      </c>
      <c r="X286" s="97" t="str">
        <f t="array" ref="X286">IFERROR(INDEX(DFD!$K$2:$K$1048791,MATCH($Q286,DFD!$B$2:$B$1048791,0)),"")</f>
        <v/>
      </c>
      <c r="Y286" s="97" t="str">
        <f t="array" ref="Y286">IFERROR(INDEX(DFD!$L$2:$L$1048790,MATCH($Q286,DFD!$B$2:$B$1048790,0)),"")</f>
        <v/>
      </c>
      <c r="Z286" s="97">
        <f t="shared" si="4"/>
        <v>45</v>
      </c>
      <c r="AA286" s="87"/>
      <c r="AB286" s="87" t="s">
        <v>72</v>
      </c>
      <c r="AC286" s="87"/>
      <c r="AD286" s="99">
        <v>46043.0</v>
      </c>
      <c r="AE286" s="119">
        <f t="shared" si="5"/>
        <v>1</v>
      </c>
    </row>
    <row r="287" ht="15.75" customHeight="1">
      <c r="A287" s="59"/>
      <c r="B287" s="59" t="s">
        <v>101</v>
      </c>
      <c r="C287" s="60" t="s">
        <v>1088</v>
      </c>
      <c r="D287" s="60" t="s">
        <v>51</v>
      </c>
      <c r="E287" s="60">
        <v>16.0</v>
      </c>
      <c r="F287" s="138">
        <v>5760.0</v>
      </c>
      <c r="G287" s="73" t="s">
        <v>53</v>
      </c>
      <c r="H287" s="74">
        <v>46204.0</v>
      </c>
      <c r="I287" s="67" t="s">
        <v>17</v>
      </c>
      <c r="J287" s="67" t="s">
        <v>54</v>
      </c>
      <c r="K287" s="67" t="s">
        <v>66</v>
      </c>
      <c r="L287" s="67" t="s">
        <v>56</v>
      </c>
      <c r="M287" s="67" t="s">
        <v>132</v>
      </c>
      <c r="N287" s="59" t="s">
        <v>20</v>
      </c>
      <c r="O287" s="59" t="s">
        <v>59</v>
      </c>
      <c r="P287" s="59"/>
      <c r="Q287" s="59" t="s">
        <v>1085</v>
      </c>
      <c r="R287" s="67" t="s">
        <v>71</v>
      </c>
      <c r="S287" s="59"/>
      <c r="T287" s="59"/>
      <c r="U287" s="77" t="str">
        <f t="array" ref="U287">IFERROR(INDEX(DFD!$D$2:$D$1048791,MATCH($Q287,DFD!$B$2:$B$1048791,0)),"")</f>
        <v/>
      </c>
      <c r="V287" s="77" t="str">
        <f t="array" ref="V287">IFERROR(INDEX(DFD!$F$2:$F$1048791,MATCH($Q287,DFD!$B$2:$B$1048791,0)),"")</f>
        <v/>
      </c>
      <c r="W287" s="84" t="str">
        <f t="array" ref="W287">IFERROR(INDEX(DFD!$E$2:$E$1048791,MATCH($Q287,DFD!$B$2:$B$1048791,0)),"")</f>
        <v/>
      </c>
      <c r="X287" s="84" t="str">
        <f t="array" ref="X287">IFERROR(INDEX(DFD!$K$2:$K$1048791,MATCH($Q287,DFD!$B$2:$B$1048791,0)),"")</f>
        <v/>
      </c>
      <c r="Y287" s="84" t="str">
        <f t="array" ref="Y287">IFERROR(INDEX(DFD!$L$2:$L$1048790,MATCH($Q287,DFD!$B$2:$B$1048790,0)),"")</f>
        <v/>
      </c>
      <c r="Z287" s="84">
        <f t="shared" si="4"/>
        <v>45</v>
      </c>
      <c r="AA287" s="59"/>
      <c r="AB287" s="59" t="s">
        <v>72</v>
      </c>
      <c r="AC287" s="59"/>
      <c r="AD287" s="85">
        <v>46043.0</v>
      </c>
      <c r="AE287" s="114">
        <f t="shared" si="5"/>
        <v>1</v>
      </c>
    </row>
    <row r="288" ht="15.75" customHeight="1">
      <c r="A288" s="87"/>
      <c r="B288" s="87" t="s">
        <v>101</v>
      </c>
      <c r="C288" s="88" t="s">
        <v>1091</v>
      </c>
      <c r="D288" s="88" t="s">
        <v>644</v>
      </c>
      <c r="E288" s="88">
        <v>4.0</v>
      </c>
      <c r="F288" s="139">
        <v>600.0</v>
      </c>
      <c r="G288" s="90" t="s">
        <v>53</v>
      </c>
      <c r="H288" s="91">
        <v>46174.0</v>
      </c>
      <c r="I288" s="92" t="s">
        <v>17</v>
      </c>
      <c r="J288" s="92" t="s">
        <v>54</v>
      </c>
      <c r="K288" s="92" t="s">
        <v>66</v>
      </c>
      <c r="L288" s="92" t="s">
        <v>56</v>
      </c>
      <c r="M288" s="92" t="s">
        <v>57</v>
      </c>
      <c r="N288" s="87" t="s">
        <v>20</v>
      </c>
      <c r="O288" s="87" t="s">
        <v>59</v>
      </c>
      <c r="P288" s="87"/>
      <c r="Q288" s="87" t="s">
        <v>1085</v>
      </c>
      <c r="R288" s="92" t="s">
        <v>71</v>
      </c>
      <c r="S288" s="87"/>
      <c r="T288" s="87"/>
      <c r="U288" s="94" t="str">
        <f t="array" ref="U288">IFERROR(INDEX(DFD!$D$2:$D$1048791,MATCH($Q288,DFD!$B$2:$B$1048791,0)),"")</f>
        <v/>
      </c>
      <c r="V288" s="94" t="str">
        <f t="array" ref="V288">IFERROR(INDEX(DFD!$F$2:$F$1048791,MATCH($Q288,DFD!$B$2:$B$1048791,0)),"")</f>
        <v/>
      </c>
      <c r="W288" s="97" t="str">
        <f t="array" ref="W288">IFERROR(INDEX(DFD!$E$2:$E$1048791,MATCH($Q288,DFD!$B$2:$B$1048791,0)),"")</f>
        <v/>
      </c>
      <c r="X288" s="97" t="str">
        <f t="array" ref="X288">IFERROR(INDEX(DFD!$K$2:$K$1048791,MATCH($Q288,DFD!$B$2:$B$1048791,0)),"")</f>
        <v/>
      </c>
      <c r="Y288" s="97" t="str">
        <f t="array" ref="Y288">IFERROR(INDEX(DFD!$L$2:$L$1048790,MATCH($Q288,DFD!$B$2:$B$1048790,0)),"")</f>
        <v/>
      </c>
      <c r="Z288" s="97">
        <f t="shared" si="4"/>
        <v>45</v>
      </c>
      <c r="AA288" s="87"/>
      <c r="AB288" s="87" t="s">
        <v>72</v>
      </c>
      <c r="AC288" s="87"/>
      <c r="AD288" s="99">
        <v>46043.0</v>
      </c>
      <c r="AE288" s="119">
        <f t="shared" si="5"/>
        <v>1</v>
      </c>
    </row>
    <row r="289" ht="15.75" customHeight="1">
      <c r="A289" s="59"/>
      <c r="B289" s="59" t="s">
        <v>101</v>
      </c>
      <c r="C289" s="60" t="s">
        <v>1096</v>
      </c>
      <c r="D289" s="60" t="s">
        <v>51</v>
      </c>
      <c r="E289" s="60">
        <v>8.0</v>
      </c>
      <c r="F289" s="138">
        <v>16000.0</v>
      </c>
      <c r="G289" s="73" t="s">
        <v>53</v>
      </c>
      <c r="H289" s="74">
        <v>46235.0</v>
      </c>
      <c r="I289" s="67" t="s">
        <v>17</v>
      </c>
      <c r="J289" s="67" t="s">
        <v>54</v>
      </c>
      <c r="K289" s="67" t="s">
        <v>66</v>
      </c>
      <c r="L289" s="67" t="s">
        <v>56</v>
      </c>
      <c r="M289" s="67" t="s">
        <v>500</v>
      </c>
      <c r="N289" s="59" t="s">
        <v>20</v>
      </c>
      <c r="O289" s="59" t="s">
        <v>59</v>
      </c>
      <c r="P289" s="59"/>
      <c r="Q289" s="59" t="s">
        <v>1085</v>
      </c>
      <c r="R289" s="67" t="s">
        <v>114</v>
      </c>
      <c r="S289" s="59"/>
      <c r="T289" s="59"/>
      <c r="U289" s="77" t="str">
        <f t="array" ref="U289">IFERROR(INDEX(DFD!$D$2:$D$1048791,MATCH($Q289,DFD!$B$2:$B$1048791,0)),"")</f>
        <v/>
      </c>
      <c r="V289" s="77" t="str">
        <f t="array" ref="V289">IFERROR(INDEX(DFD!$F$2:$F$1048791,MATCH($Q289,DFD!$B$2:$B$1048791,0)),"")</f>
        <v/>
      </c>
      <c r="W289" s="84" t="str">
        <f t="array" ref="W289">IFERROR(INDEX(DFD!$E$2:$E$1048791,MATCH($Q289,DFD!$B$2:$B$1048791,0)),"")</f>
        <v/>
      </c>
      <c r="X289" s="84" t="str">
        <f t="array" ref="X289">IFERROR(INDEX(DFD!$K$2:$K$1048791,MATCH($Q289,DFD!$B$2:$B$1048791,0)),"")</f>
        <v/>
      </c>
      <c r="Y289" s="84" t="str">
        <f t="array" ref="Y289">IFERROR(INDEX(DFD!$L$2:$L$1048790,MATCH($Q289,DFD!$B$2:$B$1048790,0)),"")</f>
        <v/>
      </c>
      <c r="Z289" s="84">
        <f t="shared" si="4"/>
        <v>45</v>
      </c>
      <c r="AA289" s="59"/>
      <c r="AB289" s="59" t="s">
        <v>72</v>
      </c>
      <c r="AC289" s="59"/>
      <c r="AD289" s="85">
        <v>46043.0</v>
      </c>
      <c r="AE289" s="114">
        <f t="shared" si="5"/>
        <v>1</v>
      </c>
    </row>
    <row r="290" ht="15.75" customHeight="1">
      <c r="A290" s="87"/>
      <c r="B290" s="87" t="s">
        <v>98</v>
      </c>
      <c r="C290" s="88" t="s">
        <v>1098</v>
      </c>
      <c r="D290" s="88" t="s">
        <v>51</v>
      </c>
      <c r="E290" s="88">
        <v>5.0</v>
      </c>
      <c r="F290" s="139">
        <v>9000.0</v>
      </c>
      <c r="G290" s="90" t="s">
        <v>53</v>
      </c>
      <c r="H290" s="91">
        <v>46204.0</v>
      </c>
      <c r="I290" s="92" t="s">
        <v>17</v>
      </c>
      <c r="J290" s="92" t="s">
        <v>54</v>
      </c>
      <c r="K290" s="92" t="s">
        <v>66</v>
      </c>
      <c r="L290" s="92" t="s">
        <v>56</v>
      </c>
      <c r="M290" s="92" t="s">
        <v>448</v>
      </c>
      <c r="N290" s="87" t="s">
        <v>20</v>
      </c>
      <c r="O290" s="87" t="s">
        <v>59</v>
      </c>
      <c r="P290" s="87"/>
      <c r="Q290" s="87" t="s">
        <v>1101</v>
      </c>
      <c r="R290" s="92" t="s">
        <v>71</v>
      </c>
      <c r="S290" s="87"/>
      <c r="T290" s="87"/>
      <c r="U290" s="94" t="str">
        <f t="array" ref="U290">IFERROR(INDEX(DFD!$D$2:$D$1048791,MATCH($Q290,DFD!$B$2:$B$1048791,0)),"")</f>
        <v/>
      </c>
      <c r="V290" s="94" t="str">
        <f t="array" ref="V290">IFERROR(INDEX(DFD!$F$2:$F$1048791,MATCH($Q290,DFD!$B$2:$B$1048791,0)),"")</f>
        <v/>
      </c>
      <c r="W290" s="97" t="str">
        <f t="array" ref="W290">IFERROR(INDEX(DFD!$E$2:$E$1048791,MATCH($Q290,DFD!$B$2:$B$1048791,0)),"")</f>
        <v/>
      </c>
      <c r="X290" s="97" t="str">
        <f t="array" ref="X290">IFERROR(INDEX(DFD!$K$2:$K$1048791,MATCH($Q290,DFD!$B$2:$B$1048791,0)),"")</f>
        <v/>
      </c>
      <c r="Y290" s="97" t="str">
        <f t="array" ref="Y290">IFERROR(INDEX(DFD!$L$2:$L$1048790,MATCH($Q290,DFD!$B$2:$B$1048790,0)),"")</f>
        <v/>
      </c>
      <c r="Z290" s="97">
        <f t="shared" si="4"/>
        <v>45</v>
      </c>
      <c r="AA290" s="87"/>
      <c r="AB290" s="87" t="s">
        <v>72</v>
      </c>
      <c r="AC290" s="87"/>
      <c r="AD290" s="99">
        <v>46043.0</v>
      </c>
      <c r="AE290" s="119">
        <f t="shared" si="5"/>
        <v>1</v>
      </c>
    </row>
    <row r="291" ht="15.75" customHeight="1">
      <c r="A291" s="59"/>
      <c r="B291" s="59" t="s">
        <v>101</v>
      </c>
      <c r="C291" s="60" t="s">
        <v>1102</v>
      </c>
      <c r="D291" s="60" t="s">
        <v>51</v>
      </c>
      <c r="E291" s="60">
        <v>40.0</v>
      </c>
      <c r="F291" s="138">
        <v>64000.0</v>
      </c>
      <c r="G291" s="73" t="s">
        <v>53</v>
      </c>
      <c r="H291" s="74">
        <v>46204.0</v>
      </c>
      <c r="I291" s="67" t="s">
        <v>17</v>
      </c>
      <c r="J291" s="67" t="s">
        <v>54</v>
      </c>
      <c r="K291" s="67" t="s">
        <v>66</v>
      </c>
      <c r="L291" s="67" t="s">
        <v>56</v>
      </c>
      <c r="M291" s="67" t="s">
        <v>75</v>
      </c>
      <c r="N291" s="59" t="s">
        <v>20</v>
      </c>
      <c r="O291" s="59" t="s">
        <v>59</v>
      </c>
      <c r="P291" s="59"/>
      <c r="Q291" s="59" t="s">
        <v>1101</v>
      </c>
      <c r="R291" s="67" t="s">
        <v>114</v>
      </c>
      <c r="S291" s="59"/>
      <c r="T291" s="59"/>
      <c r="U291" s="77" t="str">
        <f t="array" ref="U291">IFERROR(INDEX(DFD!$D$2:$D$1048791,MATCH($Q291,DFD!$B$2:$B$1048791,0)),"")</f>
        <v/>
      </c>
      <c r="V291" s="77" t="str">
        <f t="array" ref="V291">IFERROR(INDEX(DFD!$F$2:$F$1048791,MATCH($Q291,DFD!$B$2:$B$1048791,0)),"")</f>
        <v/>
      </c>
      <c r="W291" s="84" t="str">
        <f t="array" ref="W291">IFERROR(INDEX(DFD!$E$2:$E$1048791,MATCH($Q291,DFD!$B$2:$B$1048791,0)),"")</f>
        <v/>
      </c>
      <c r="X291" s="84" t="str">
        <f t="array" ref="X291">IFERROR(INDEX(DFD!$K$2:$K$1048791,MATCH($Q291,DFD!$B$2:$B$1048791,0)),"")</f>
        <v/>
      </c>
      <c r="Y291" s="84" t="str">
        <f t="array" ref="Y291">IFERROR(INDEX(DFD!$L$2:$L$1048790,MATCH($Q291,DFD!$B$2:$B$1048790,0)),"")</f>
        <v/>
      </c>
      <c r="Z291" s="84">
        <f t="shared" si="4"/>
        <v>45</v>
      </c>
      <c r="AA291" s="59"/>
      <c r="AB291" s="59" t="s">
        <v>72</v>
      </c>
      <c r="AC291" s="59"/>
      <c r="AD291" s="85">
        <v>46043.0</v>
      </c>
      <c r="AE291" s="114">
        <f t="shared" si="5"/>
        <v>1</v>
      </c>
    </row>
    <row r="292" ht="15.75" customHeight="1">
      <c r="A292" s="92"/>
      <c r="B292" s="92" t="s">
        <v>184</v>
      </c>
      <c r="C292" s="116" t="s">
        <v>1106</v>
      </c>
      <c r="D292" s="116" t="s">
        <v>51</v>
      </c>
      <c r="E292" s="116">
        <v>400.0</v>
      </c>
      <c r="F292" s="82">
        <v>1712000.0</v>
      </c>
      <c r="G292" s="90" t="s">
        <v>53</v>
      </c>
      <c r="H292" s="118">
        <v>46266.0</v>
      </c>
      <c r="I292" s="92" t="s">
        <v>17</v>
      </c>
      <c r="J292" s="92" t="s">
        <v>54</v>
      </c>
      <c r="K292" s="92" t="s">
        <v>66</v>
      </c>
      <c r="L292" s="92" t="s">
        <v>197</v>
      </c>
      <c r="M292" s="92" t="s">
        <v>84</v>
      </c>
      <c r="N292" s="92" t="s">
        <v>20</v>
      </c>
      <c r="O292" s="87" t="s">
        <v>59</v>
      </c>
      <c r="P292" s="87"/>
      <c r="Q292" s="87" t="s">
        <v>1107</v>
      </c>
      <c r="R292" s="92" t="s">
        <v>71</v>
      </c>
      <c r="S292" s="87"/>
      <c r="T292" s="87"/>
      <c r="U292" s="94" t="str">
        <f t="array" ref="U292">IFERROR(INDEX(DFD!$D$2:$D$1048791,MATCH($Q292,DFD!$B$2:$B$1048791,0)),"")</f>
        <v/>
      </c>
      <c r="V292" s="94" t="str">
        <f t="array" ref="V292">IFERROR(INDEX(DFD!$F$2:$F$1048791,MATCH($Q292,DFD!$B$2:$B$1048791,0)),"")</f>
        <v/>
      </c>
      <c r="W292" s="97" t="str">
        <f t="array" ref="W292">IFERROR(INDEX(DFD!$E$2:$E$1048791,MATCH($Q292,DFD!$B$2:$B$1048791,0)),"")</f>
        <v/>
      </c>
      <c r="X292" s="97" t="str">
        <f t="array" ref="X292">IFERROR(INDEX(DFD!$K$2:$K$1048791,MATCH($Q292,DFD!$B$2:$B$1048791,0)),"")</f>
        <v/>
      </c>
      <c r="Y292" s="97" t="str">
        <f t="array" ref="Y292">IFERROR(INDEX(DFD!$L$2:$L$1048790,MATCH($Q292,DFD!$B$2:$B$1048790,0)),"")</f>
        <v/>
      </c>
      <c r="Z292" s="97">
        <f t="shared" si="4"/>
        <v>45</v>
      </c>
      <c r="AA292" s="87"/>
      <c r="AB292" s="87" t="s">
        <v>72</v>
      </c>
      <c r="AC292" s="87"/>
      <c r="AD292" s="99">
        <v>46043.0</v>
      </c>
      <c r="AE292" s="119">
        <f t="shared" si="5"/>
        <v>1</v>
      </c>
    </row>
    <row r="293" ht="15.75" customHeight="1">
      <c r="A293" s="67"/>
      <c r="B293" s="67" t="s">
        <v>98</v>
      </c>
      <c r="C293" s="81" t="s">
        <v>1110</v>
      </c>
      <c r="D293" s="81" t="s">
        <v>51</v>
      </c>
      <c r="E293" s="81">
        <v>5.0</v>
      </c>
      <c r="F293" s="113">
        <v>2500.0</v>
      </c>
      <c r="G293" s="73" t="s">
        <v>53</v>
      </c>
      <c r="H293" s="83">
        <v>46174.0</v>
      </c>
      <c r="I293" s="67" t="s">
        <v>18</v>
      </c>
      <c r="J293" s="67" t="s">
        <v>54</v>
      </c>
      <c r="K293" s="67" t="s">
        <v>83</v>
      </c>
      <c r="L293" s="67" t="s">
        <v>56</v>
      </c>
      <c r="M293" s="67" t="s">
        <v>84</v>
      </c>
      <c r="N293" s="67" t="s">
        <v>20</v>
      </c>
      <c r="O293" s="59" t="s">
        <v>59</v>
      </c>
      <c r="P293" s="59"/>
      <c r="Q293" s="59" t="s">
        <v>1107</v>
      </c>
      <c r="R293" s="67" t="s">
        <v>531</v>
      </c>
      <c r="S293" s="59"/>
      <c r="T293" s="59"/>
      <c r="U293" s="77" t="str">
        <f t="array" ref="U293">IFERROR(INDEX(DFD!$D$2:$D$1048791,MATCH($Q293,DFD!$B$2:$B$1048791,0)),"")</f>
        <v/>
      </c>
      <c r="V293" s="77" t="str">
        <f t="array" ref="V293">IFERROR(INDEX(DFD!$F$2:$F$1048791,MATCH($Q293,DFD!$B$2:$B$1048791,0)),"")</f>
        <v/>
      </c>
      <c r="W293" s="84" t="str">
        <f t="array" ref="W293">IFERROR(INDEX(DFD!$E$2:$E$1048791,MATCH($Q293,DFD!$B$2:$B$1048791,0)),"")</f>
        <v/>
      </c>
      <c r="X293" s="84" t="str">
        <f t="array" ref="X293">IFERROR(INDEX(DFD!$K$2:$K$1048791,MATCH($Q293,DFD!$B$2:$B$1048791,0)),"")</f>
        <v/>
      </c>
      <c r="Y293" s="84" t="str">
        <f t="array" ref="Y293">IFERROR(INDEX(DFD!$L$2:$L$1048790,MATCH($Q293,DFD!$B$2:$B$1048790,0)),"")</f>
        <v/>
      </c>
      <c r="Z293" s="84">
        <f t="shared" si="4"/>
        <v>45</v>
      </c>
      <c r="AA293" s="59"/>
      <c r="AB293" s="59" t="s">
        <v>72</v>
      </c>
      <c r="AC293" s="59"/>
      <c r="AD293" s="85">
        <v>46043.0</v>
      </c>
      <c r="AE293" s="114">
        <f t="shared" si="5"/>
        <v>1</v>
      </c>
    </row>
    <row r="294" ht="15.75" customHeight="1">
      <c r="A294" s="87"/>
      <c r="B294" s="87" t="s">
        <v>101</v>
      </c>
      <c r="C294" s="88" t="s">
        <v>1113</v>
      </c>
      <c r="D294" s="88" t="s">
        <v>51</v>
      </c>
      <c r="E294" s="88">
        <v>35.0</v>
      </c>
      <c r="F294" s="139">
        <v>63000.0</v>
      </c>
      <c r="G294" s="90" t="s">
        <v>53</v>
      </c>
      <c r="H294" s="91">
        <v>46266.0</v>
      </c>
      <c r="I294" s="92" t="s">
        <v>17</v>
      </c>
      <c r="J294" s="92" t="s">
        <v>54</v>
      </c>
      <c r="K294" s="92" t="s">
        <v>66</v>
      </c>
      <c r="L294" s="92" t="s">
        <v>56</v>
      </c>
      <c r="M294" s="92" t="s">
        <v>515</v>
      </c>
      <c r="N294" s="87" t="s">
        <v>20</v>
      </c>
      <c r="O294" s="87" t="s">
        <v>59</v>
      </c>
      <c r="P294" s="87"/>
      <c r="Q294" s="87" t="s">
        <v>1114</v>
      </c>
      <c r="R294" s="92" t="s">
        <v>71</v>
      </c>
      <c r="S294" s="87"/>
      <c r="T294" s="87"/>
      <c r="U294" s="94" t="str">
        <f t="array" ref="U294">IFERROR(INDEX(DFD!$D$2:$D$1048791,MATCH($Q294,DFD!$B$2:$B$1048791,0)),"")</f>
        <v/>
      </c>
      <c r="V294" s="94" t="str">
        <f t="array" ref="V294">IFERROR(INDEX(DFD!$F$2:$F$1048791,MATCH($Q294,DFD!$B$2:$B$1048791,0)),"")</f>
        <v/>
      </c>
      <c r="W294" s="97" t="str">
        <f t="array" ref="W294">IFERROR(INDEX(DFD!$E$2:$E$1048791,MATCH($Q294,DFD!$B$2:$B$1048791,0)),"")</f>
        <v/>
      </c>
      <c r="X294" s="97" t="str">
        <f t="array" ref="X294">IFERROR(INDEX(DFD!$K$2:$K$1048791,MATCH($Q294,DFD!$B$2:$B$1048791,0)),"")</f>
        <v/>
      </c>
      <c r="Y294" s="97" t="str">
        <f t="array" ref="Y294">IFERROR(INDEX(DFD!$L$2:$L$1048790,MATCH($Q294,DFD!$B$2:$B$1048790,0)),"")</f>
        <v/>
      </c>
      <c r="Z294" s="97">
        <f t="shared" si="4"/>
        <v>45</v>
      </c>
      <c r="AA294" s="87"/>
      <c r="AB294" s="87" t="s">
        <v>72</v>
      </c>
      <c r="AC294" s="87"/>
      <c r="AD294" s="99">
        <v>46043.0</v>
      </c>
      <c r="AE294" s="119">
        <f t="shared" si="5"/>
        <v>1</v>
      </c>
    </row>
    <row r="295" ht="15.75" customHeight="1">
      <c r="A295" s="67"/>
      <c r="B295" s="67" t="s">
        <v>386</v>
      </c>
      <c r="C295" s="81" t="s">
        <v>1118</v>
      </c>
      <c r="D295" s="81" t="s">
        <v>51</v>
      </c>
      <c r="E295" s="81">
        <v>1.0</v>
      </c>
      <c r="F295" s="113">
        <v>35000.0</v>
      </c>
      <c r="G295" s="73" t="s">
        <v>53</v>
      </c>
      <c r="H295" s="83">
        <v>46235.0</v>
      </c>
      <c r="I295" s="67" t="s">
        <v>18</v>
      </c>
      <c r="J295" s="67" t="s">
        <v>54</v>
      </c>
      <c r="K295" s="67" t="s">
        <v>161</v>
      </c>
      <c r="L295" s="67" t="s">
        <v>197</v>
      </c>
      <c r="M295" s="67" t="s">
        <v>84</v>
      </c>
      <c r="N295" s="67" t="s">
        <v>20</v>
      </c>
      <c r="O295" s="59" t="s">
        <v>59</v>
      </c>
      <c r="P295" s="59"/>
      <c r="Q295" s="59" t="s">
        <v>1114</v>
      </c>
      <c r="R295" s="67" t="s">
        <v>506</v>
      </c>
      <c r="S295" s="59"/>
      <c r="T295" s="59"/>
      <c r="U295" s="77" t="str">
        <f t="array" ref="U295">IFERROR(INDEX(DFD!$D$2:$D$1048791,MATCH($Q295,DFD!$B$2:$B$1048791,0)),"")</f>
        <v/>
      </c>
      <c r="V295" s="77" t="str">
        <f t="array" ref="V295">IFERROR(INDEX(DFD!$F$2:$F$1048791,MATCH($Q295,DFD!$B$2:$B$1048791,0)),"")</f>
        <v/>
      </c>
      <c r="W295" s="84" t="str">
        <f t="array" ref="W295">IFERROR(INDEX(DFD!$E$2:$E$1048791,MATCH($Q295,DFD!$B$2:$B$1048791,0)),"")</f>
        <v/>
      </c>
      <c r="X295" s="84" t="str">
        <f t="array" ref="X295">IFERROR(INDEX(DFD!$K$2:$K$1048791,MATCH($Q295,DFD!$B$2:$B$1048791,0)),"")</f>
        <v/>
      </c>
      <c r="Y295" s="84" t="str">
        <f t="array" ref="Y295">IFERROR(INDEX(DFD!$L$2:$L$1048790,MATCH($Q295,DFD!$B$2:$B$1048790,0)),"")</f>
        <v/>
      </c>
      <c r="Z295" s="84">
        <f t="shared" si="4"/>
        <v>45</v>
      </c>
      <c r="AA295" s="59"/>
      <c r="AB295" s="59" t="s">
        <v>72</v>
      </c>
      <c r="AC295" s="59"/>
      <c r="AD295" s="85">
        <v>46043.0</v>
      </c>
      <c r="AE295" s="114">
        <f t="shared" si="5"/>
        <v>1</v>
      </c>
    </row>
    <row r="296" ht="15.75" customHeight="1">
      <c r="A296" s="87"/>
      <c r="B296" s="87" t="s">
        <v>101</v>
      </c>
      <c r="C296" s="88" t="s">
        <v>1123</v>
      </c>
      <c r="D296" s="88" t="s">
        <v>1124</v>
      </c>
      <c r="E296" s="88">
        <v>150.0</v>
      </c>
      <c r="F296" s="139">
        <v>11850.0</v>
      </c>
      <c r="G296" s="90" t="s">
        <v>53</v>
      </c>
      <c r="H296" s="91">
        <v>46235.0</v>
      </c>
      <c r="I296" s="92" t="s">
        <v>17</v>
      </c>
      <c r="J296" s="92" t="s">
        <v>54</v>
      </c>
      <c r="K296" s="92" t="s">
        <v>66</v>
      </c>
      <c r="L296" s="92" t="s">
        <v>56</v>
      </c>
      <c r="M296" s="92" t="s">
        <v>75</v>
      </c>
      <c r="N296" s="87" t="s">
        <v>20</v>
      </c>
      <c r="O296" s="87" t="s">
        <v>59</v>
      </c>
      <c r="P296" s="87"/>
      <c r="Q296" s="87" t="s">
        <v>1125</v>
      </c>
      <c r="R296" s="92" t="s">
        <v>503</v>
      </c>
      <c r="S296" s="87"/>
      <c r="T296" s="87"/>
      <c r="U296" s="94" t="str">
        <f t="array" ref="U296">IFERROR(INDEX(DFD!$D$2:$D$1048791,MATCH($Q296,DFD!$B$2:$B$1048791,0)),"")</f>
        <v/>
      </c>
      <c r="V296" s="94" t="str">
        <f t="array" ref="V296">IFERROR(INDEX(DFD!$F$2:$F$1048791,MATCH($Q296,DFD!$B$2:$B$1048791,0)),"")</f>
        <v/>
      </c>
      <c r="W296" s="97" t="str">
        <f t="array" ref="W296">IFERROR(INDEX(DFD!$E$2:$E$1048791,MATCH($Q296,DFD!$B$2:$B$1048791,0)),"")</f>
        <v/>
      </c>
      <c r="X296" s="97" t="str">
        <f t="array" ref="X296">IFERROR(INDEX(DFD!$K$2:$K$1048791,MATCH($Q296,DFD!$B$2:$B$1048791,0)),"")</f>
        <v/>
      </c>
      <c r="Y296" s="97" t="str">
        <f t="array" ref="Y296">IFERROR(INDEX(DFD!$L$2:$L$1048790,MATCH($Q296,DFD!$B$2:$B$1048790,0)),"")</f>
        <v/>
      </c>
      <c r="Z296" s="97">
        <f t="shared" si="4"/>
        <v>45</v>
      </c>
      <c r="AA296" s="87"/>
      <c r="AB296" s="87" t="s">
        <v>72</v>
      </c>
      <c r="AC296" s="87"/>
      <c r="AD296" s="99">
        <v>46043.0</v>
      </c>
      <c r="AE296" s="119">
        <f t="shared" si="5"/>
        <v>1</v>
      </c>
    </row>
    <row r="297" ht="15.75" customHeight="1">
      <c r="A297" s="67"/>
      <c r="B297" s="67" t="s">
        <v>427</v>
      </c>
      <c r="C297" s="81" t="s">
        <v>1130</v>
      </c>
      <c r="D297" s="81" t="s">
        <v>51</v>
      </c>
      <c r="E297" s="81">
        <v>1.0</v>
      </c>
      <c r="F297" s="82">
        <v>1450000.0</v>
      </c>
      <c r="G297" s="73" t="s">
        <v>53</v>
      </c>
      <c r="H297" s="83">
        <v>46266.0</v>
      </c>
      <c r="I297" s="67" t="s">
        <v>17</v>
      </c>
      <c r="J297" s="67" t="s">
        <v>54</v>
      </c>
      <c r="K297" s="67" t="s">
        <v>429</v>
      </c>
      <c r="L297" s="67" t="s">
        <v>197</v>
      </c>
      <c r="M297" s="67" t="s">
        <v>84</v>
      </c>
      <c r="N297" s="67" t="s">
        <v>20</v>
      </c>
      <c r="O297" s="59" t="s">
        <v>59</v>
      </c>
      <c r="P297" s="59"/>
      <c r="Q297" s="59" t="s">
        <v>1125</v>
      </c>
      <c r="R297" s="67" t="s">
        <v>61</v>
      </c>
      <c r="S297" s="59"/>
      <c r="T297" s="59"/>
      <c r="U297" s="77" t="str">
        <f t="array" ref="U297">IFERROR(INDEX(DFD!$D$2:$D$1048791,MATCH($Q297,DFD!$B$2:$B$1048791,0)),"")</f>
        <v/>
      </c>
      <c r="V297" s="77" t="str">
        <f t="array" ref="V297">IFERROR(INDEX(DFD!$F$2:$F$1048791,MATCH($Q297,DFD!$B$2:$B$1048791,0)),"")</f>
        <v/>
      </c>
      <c r="W297" s="84" t="str">
        <f t="array" ref="W297">IFERROR(INDEX(DFD!$E$2:$E$1048791,MATCH($Q297,DFD!$B$2:$B$1048791,0)),"")</f>
        <v/>
      </c>
      <c r="X297" s="84" t="str">
        <f t="array" ref="X297">IFERROR(INDEX(DFD!$K$2:$K$1048791,MATCH($Q297,DFD!$B$2:$B$1048791,0)),"")</f>
        <v/>
      </c>
      <c r="Y297" s="84" t="str">
        <f t="array" ref="Y297">IFERROR(INDEX(DFD!$L$2:$L$1048790,MATCH($Q297,DFD!$B$2:$B$1048790,0)),"")</f>
        <v/>
      </c>
      <c r="Z297" s="84">
        <f t="shared" si="4"/>
        <v>45</v>
      </c>
      <c r="AA297" s="59"/>
      <c r="AB297" s="59" t="s">
        <v>72</v>
      </c>
      <c r="AC297" s="59"/>
      <c r="AD297" s="85">
        <v>46043.0</v>
      </c>
      <c r="AE297" s="114">
        <f t="shared" si="5"/>
        <v>1</v>
      </c>
    </row>
    <row r="298" ht="15.75" customHeight="1">
      <c r="A298" s="92"/>
      <c r="B298" s="92" t="s">
        <v>98</v>
      </c>
      <c r="C298" s="116" t="s">
        <v>1134</v>
      </c>
      <c r="D298" s="116" t="s">
        <v>51</v>
      </c>
      <c r="E298" s="116">
        <v>1.0</v>
      </c>
      <c r="F298" s="117">
        <v>900.0</v>
      </c>
      <c r="G298" s="90" t="s">
        <v>53</v>
      </c>
      <c r="H298" s="118">
        <v>46174.0</v>
      </c>
      <c r="I298" s="92" t="s">
        <v>17</v>
      </c>
      <c r="J298" s="92" t="s">
        <v>54</v>
      </c>
      <c r="K298" s="92" t="s">
        <v>83</v>
      </c>
      <c r="L298" s="92" t="s">
        <v>56</v>
      </c>
      <c r="M298" s="92" t="s">
        <v>84</v>
      </c>
      <c r="N298" s="92" t="s">
        <v>20</v>
      </c>
      <c r="O298" s="87" t="s">
        <v>59</v>
      </c>
      <c r="P298" s="87"/>
      <c r="Q298" s="87" t="s">
        <v>1135</v>
      </c>
      <c r="R298" s="92" t="s">
        <v>154</v>
      </c>
      <c r="S298" s="87"/>
      <c r="T298" s="87"/>
      <c r="U298" s="94" t="str">
        <f t="array" ref="U298">IFERROR(INDEX(DFD!$D$2:$D$1048791,MATCH($Q298,DFD!$B$2:$B$1048791,0)),"")</f>
        <v/>
      </c>
      <c r="V298" s="94" t="str">
        <f t="array" ref="V298">IFERROR(INDEX(DFD!$F$2:$F$1048791,MATCH($Q298,DFD!$B$2:$B$1048791,0)),"")</f>
        <v/>
      </c>
      <c r="W298" s="97" t="str">
        <f t="array" ref="W298">IFERROR(INDEX(DFD!$E$2:$E$1048791,MATCH($Q298,DFD!$B$2:$B$1048791,0)),"")</f>
        <v/>
      </c>
      <c r="X298" s="97" t="str">
        <f t="array" ref="X298">IFERROR(INDEX(DFD!$K$2:$K$1048791,MATCH($Q298,DFD!$B$2:$B$1048791,0)),"")</f>
        <v/>
      </c>
      <c r="Y298" s="97" t="str">
        <f t="array" ref="Y298">IFERROR(INDEX(DFD!$L$2:$L$1048790,MATCH($Q298,DFD!$B$2:$B$1048790,0)),"")</f>
        <v/>
      </c>
      <c r="Z298" s="97">
        <f t="shared" si="4"/>
        <v>45</v>
      </c>
      <c r="AA298" s="87"/>
      <c r="AB298" s="87" t="s">
        <v>72</v>
      </c>
      <c r="AC298" s="87"/>
      <c r="AD298" s="99">
        <v>46043.0</v>
      </c>
      <c r="AE298" s="119">
        <f t="shared" si="5"/>
        <v>1</v>
      </c>
    </row>
    <row r="299" ht="15.75" customHeight="1">
      <c r="A299" s="67"/>
      <c r="B299" s="67" t="s">
        <v>427</v>
      </c>
      <c r="C299" s="162" t="s">
        <v>1137</v>
      </c>
      <c r="D299" s="81" t="s">
        <v>51</v>
      </c>
      <c r="E299" s="81">
        <v>1.0</v>
      </c>
      <c r="F299" s="113">
        <v>100000.0</v>
      </c>
      <c r="G299" s="73" t="s">
        <v>53</v>
      </c>
      <c r="H299" s="83">
        <v>46174.0</v>
      </c>
      <c r="I299" s="67" t="s">
        <v>17</v>
      </c>
      <c r="J299" s="67" t="s">
        <v>54</v>
      </c>
      <c r="K299" s="67" t="s">
        <v>429</v>
      </c>
      <c r="L299" s="67" t="s">
        <v>56</v>
      </c>
      <c r="M299" s="67"/>
      <c r="N299" s="67" t="s">
        <v>20</v>
      </c>
      <c r="O299" s="59" t="s">
        <v>59</v>
      </c>
      <c r="P299" s="59"/>
      <c r="Q299" s="59" t="s">
        <v>1138</v>
      </c>
      <c r="R299" s="67" t="s">
        <v>1139</v>
      </c>
      <c r="S299" s="59"/>
      <c r="T299" s="59"/>
      <c r="U299" s="77" t="s">
        <v>1140</v>
      </c>
      <c r="V299" s="77" t="s">
        <v>641</v>
      </c>
      <c r="W299" s="84">
        <v>46155.0</v>
      </c>
      <c r="X299" s="84"/>
      <c r="Y299" s="84"/>
      <c r="Z299" s="84"/>
      <c r="AA299" s="59"/>
      <c r="AB299" s="59" t="s">
        <v>78</v>
      </c>
      <c r="AC299" s="59"/>
      <c r="AD299" s="85"/>
      <c r="AE299" s="114">
        <v>1.0</v>
      </c>
    </row>
    <row r="300" ht="15.75" customHeight="1">
      <c r="A300" s="92"/>
      <c r="B300" s="87" t="s">
        <v>136</v>
      </c>
      <c r="C300" s="88" t="s">
        <v>1141</v>
      </c>
      <c r="D300" s="88" t="s">
        <v>51</v>
      </c>
      <c r="E300" s="88">
        <v>2.0</v>
      </c>
      <c r="F300" s="89">
        <v>21000.0</v>
      </c>
      <c r="G300" s="90" t="s">
        <v>53</v>
      </c>
      <c r="H300" s="91">
        <v>46234.0</v>
      </c>
      <c r="I300" s="92" t="s">
        <v>17</v>
      </c>
      <c r="J300" s="92" t="s">
        <v>54</v>
      </c>
      <c r="K300" s="92" t="s">
        <v>66</v>
      </c>
      <c r="L300" s="92" t="s">
        <v>67</v>
      </c>
      <c r="M300" s="90" t="s">
        <v>68</v>
      </c>
      <c r="N300" s="92" t="s">
        <v>20</v>
      </c>
      <c r="O300" s="87" t="s">
        <v>59</v>
      </c>
      <c r="P300" s="87"/>
      <c r="Q300" s="87" t="s">
        <v>1138</v>
      </c>
      <c r="R300" s="93" t="s">
        <v>565</v>
      </c>
      <c r="S300" s="87"/>
      <c r="T300" s="87"/>
      <c r="U300" s="94" t="str">
        <f t="array" ref="U300">IFERROR(INDEX(DFD!$D$2:$D$1048791,MATCH($Q300,DFD!$B$2:$B$1048791,0)),"")</f>
        <v/>
      </c>
      <c r="V300" s="94" t="str">
        <f t="array" ref="V300">IFERROR(INDEX(DFD!$F$2:$F$1048791,MATCH($Q300,DFD!$B$2:$B$1048791,0)),"")</f>
        <v/>
      </c>
      <c r="W300" s="97" t="str">
        <f t="array" ref="W300">IFERROR(INDEX(DFD!$E$2:$E$1048791,MATCH($Q300,DFD!$B$2:$B$1048791,0)),"")</f>
        <v/>
      </c>
      <c r="X300" s="97" t="str">
        <f t="array" ref="X300">IFERROR(INDEX(DFD!$K$2:$K$1048791,MATCH($Q300,DFD!$B$2:$B$1048791,0)),"")</f>
        <v/>
      </c>
      <c r="Y300" s="97" t="str">
        <f t="array" ref="Y300">IFERROR(INDEX(DFD!$L$2:$L$1048790,MATCH($Q300,DFD!$B$2:$B$1048790,0)),"")</f>
        <v/>
      </c>
      <c r="Z300" s="97">
        <f t="shared" ref="Z300:Z301" si="6">Y300+45</f>
        <v>45</v>
      </c>
      <c r="AA300" s="87"/>
      <c r="AB300" s="87" t="s">
        <v>72</v>
      </c>
      <c r="AC300" s="87"/>
      <c r="AD300" s="99"/>
      <c r="AE300" s="119">
        <f t="shared" ref="AE300:AE301" si="7">SUBTOTAL(103, R300)</f>
        <v>1</v>
      </c>
    </row>
    <row r="301" ht="15.75" customHeight="1">
      <c r="A301" s="67"/>
      <c r="B301" s="59" t="s">
        <v>52</v>
      </c>
      <c r="C301" s="60" t="s">
        <v>1145</v>
      </c>
      <c r="D301" s="60" t="s">
        <v>51</v>
      </c>
      <c r="E301" s="60">
        <v>1.0</v>
      </c>
      <c r="F301" s="72">
        <v>270000.0</v>
      </c>
      <c r="G301" s="73" t="s">
        <v>53</v>
      </c>
      <c r="H301" s="74">
        <v>46234.0</v>
      </c>
      <c r="I301" s="67" t="s">
        <v>17</v>
      </c>
      <c r="J301" s="67" t="s">
        <v>54</v>
      </c>
      <c r="K301" s="67" t="s">
        <v>1147</v>
      </c>
      <c r="L301" s="67" t="s">
        <v>67</v>
      </c>
      <c r="M301" s="73" t="s">
        <v>132</v>
      </c>
      <c r="N301" s="67" t="s">
        <v>20</v>
      </c>
      <c r="O301" s="59" t="s">
        <v>59</v>
      </c>
      <c r="P301" s="59"/>
      <c r="Q301" s="59" t="s">
        <v>1148</v>
      </c>
      <c r="R301" s="76" t="s">
        <v>61</v>
      </c>
      <c r="S301" s="59"/>
      <c r="T301" s="59"/>
      <c r="U301" s="77" t="str">
        <f t="array" ref="U301">IFERROR(INDEX(DFD!$D$2:$D$1048791,MATCH($Q301,DFD!$B$2:$B$1048791,0)),"")</f>
        <v/>
      </c>
      <c r="V301" s="77" t="str">
        <f t="array" ref="V301">IFERROR(INDEX(DFD!$F$2:$F$1048791,MATCH($Q301,DFD!$B$2:$B$1048791,0)),"")</f>
        <v/>
      </c>
      <c r="W301" s="84" t="str">
        <f t="array" ref="W301">IFERROR(INDEX(DFD!$E$2:$E$1048791,MATCH($Q301,DFD!$B$2:$B$1048791,0)),"")</f>
        <v/>
      </c>
      <c r="X301" s="84" t="str">
        <f t="array" ref="X301">IFERROR(INDEX(DFD!$K$2:$K$1048791,MATCH($Q301,DFD!$B$2:$B$1048791,0)),"")</f>
        <v/>
      </c>
      <c r="Y301" s="84" t="str">
        <f t="array" ref="Y301">IFERROR(INDEX(DFD!$L$2:$L$1048790,MATCH($Q301,DFD!$B$2:$B$1048790,0)),"")</f>
        <v/>
      </c>
      <c r="Z301" s="84">
        <f t="shared" si="6"/>
        <v>45</v>
      </c>
      <c r="AA301" s="59"/>
      <c r="AB301" s="59" t="s">
        <v>72</v>
      </c>
      <c r="AC301" s="59"/>
      <c r="AD301" s="85"/>
      <c r="AE301" s="114">
        <f t="shared" si="7"/>
        <v>1</v>
      </c>
    </row>
    <row r="302" ht="15.75" customHeight="1">
      <c r="A302" s="92"/>
      <c r="B302" s="87" t="s">
        <v>162</v>
      </c>
      <c r="C302" s="88" t="s">
        <v>1152</v>
      </c>
      <c r="D302" s="88" t="s">
        <v>51</v>
      </c>
      <c r="E302" s="88">
        <v>120.0</v>
      </c>
      <c r="F302" s="89">
        <v>60000.0</v>
      </c>
      <c r="G302" s="90" t="s">
        <v>53</v>
      </c>
      <c r="H302" s="91"/>
      <c r="I302" s="92" t="s">
        <v>17</v>
      </c>
      <c r="J302" s="92"/>
      <c r="K302" s="92"/>
      <c r="L302" s="92"/>
      <c r="M302" s="90" t="s">
        <v>132</v>
      </c>
      <c r="N302" s="92" t="s">
        <v>20</v>
      </c>
      <c r="O302" s="87" t="s">
        <v>59</v>
      </c>
      <c r="P302" s="87"/>
      <c r="Q302" s="87" t="s">
        <v>1154</v>
      </c>
      <c r="R302" s="93" t="s">
        <v>287</v>
      </c>
      <c r="S302" s="87"/>
      <c r="T302" s="87"/>
      <c r="U302" s="163" t="s">
        <v>1155</v>
      </c>
      <c r="V302" s="94" t="s">
        <v>62</v>
      </c>
      <c r="W302" s="97">
        <v>46178.0</v>
      </c>
      <c r="X302" s="97"/>
      <c r="Y302" s="97"/>
      <c r="Z302" s="97"/>
      <c r="AA302" s="87"/>
      <c r="AB302" s="87" t="s">
        <v>78</v>
      </c>
      <c r="AC302" s="87"/>
      <c r="AD302" s="99"/>
      <c r="AE302" s="119"/>
    </row>
    <row r="303" ht="15.75" customHeight="1">
      <c r="A303" s="67"/>
      <c r="B303" s="59" t="s">
        <v>162</v>
      </c>
      <c r="C303" s="60" t="s">
        <v>1156</v>
      </c>
      <c r="D303" s="60" t="s">
        <v>51</v>
      </c>
      <c r="E303" s="60">
        <v>120.0</v>
      </c>
      <c r="F303" s="72">
        <v>3600.0</v>
      </c>
      <c r="G303" s="73" t="s">
        <v>53</v>
      </c>
      <c r="H303" s="74"/>
      <c r="I303" s="67" t="s">
        <v>17</v>
      </c>
      <c r="J303" s="67"/>
      <c r="K303" s="67"/>
      <c r="L303" s="67"/>
      <c r="M303" s="73" t="s">
        <v>132</v>
      </c>
      <c r="N303" s="67" t="s">
        <v>20</v>
      </c>
      <c r="O303" s="59" t="s">
        <v>59</v>
      </c>
      <c r="P303" s="59"/>
      <c r="Q303" s="59" t="s">
        <v>1154</v>
      </c>
      <c r="R303" s="76" t="s">
        <v>287</v>
      </c>
      <c r="S303" s="59"/>
      <c r="T303" s="59"/>
      <c r="U303" s="164" t="s">
        <v>1155</v>
      </c>
      <c r="V303" s="77" t="s">
        <v>62</v>
      </c>
      <c r="W303" s="84">
        <v>46178.0</v>
      </c>
      <c r="X303" s="84"/>
      <c r="Y303" s="84"/>
      <c r="Z303" s="84"/>
      <c r="AA303" s="59"/>
      <c r="AB303" s="59" t="s">
        <v>78</v>
      </c>
      <c r="AC303" s="59"/>
      <c r="AD303" s="85"/>
      <c r="AE303" s="114"/>
    </row>
    <row r="304" ht="15.75" customHeight="1">
      <c r="A304" s="92"/>
      <c r="B304" s="87" t="s">
        <v>162</v>
      </c>
      <c r="C304" s="88" t="s">
        <v>1157</v>
      </c>
      <c r="D304" s="88" t="s">
        <v>51</v>
      </c>
      <c r="E304" s="88">
        <v>45.0</v>
      </c>
      <c r="F304" s="89">
        <v>450.0</v>
      </c>
      <c r="G304" s="90" t="s">
        <v>53</v>
      </c>
      <c r="H304" s="91"/>
      <c r="I304" s="92" t="s">
        <v>17</v>
      </c>
      <c r="J304" s="92"/>
      <c r="K304" s="92"/>
      <c r="L304" s="92"/>
      <c r="M304" s="90" t="s">
        <v>132</v>
      </c>
      <c r="N304" s="92" t="s">
        <v>20</v>
      </c>
      <c r="O304" s="87" t="s">
        <v>59</v>
      </c>
      <c r="P304" s="87"/>
      <c r="Q304" s="87" t="s">
        <v>1154</v>
      </c>
      <c r="R304" s="93" t="s">
        <v>287</v>
      </c>
      <c r="S304" s="87"/>
      <c r="T304" s="87"/>
      <c r="U304" s="163" t="s">
        <v>1155</v>
      </c>
      <c r="V304" s="94" t="s">
        <v>62</v>
      </c>
      <c r="W304" s="97">
        <v>46178.0</v>
      </c>
      <c r="X304" s="97"/>
      <c r="Y304" s="97"/>
      <c r="Z304" s="97"/>
      <c r="AA304" s="87"/>
      <c r="AB304" s="87" t="s">
        <v>78</v>
      </c>
      <c r="AC304" s="87"/>
      <c r="AD304" s="99"/>
      <c r="AE304" s="119"/>
    </row>
    <row r="305" ht="15.75" customHeight="1">
      <c r="A305" s="67"/>
      <c r="B305" s="59" t="s">
        <v>162</v>
      </c>
      <c r="C305" s="60" t="s">
        <v>1160</v>
      </c>
      <c r="D305" s="60" t="s">
        <v>51</v>
      </c>
      <c r="E305" s="60">
        <v>20.0</v>
      </c>
      <c r="F305" s="72">
        <v>200.0</v>
      </c>
      <c r="G305" s="73" t="s">
        <v>53</v>
      </c>
      <c r="H305" s="74"/>
      <c r="I305" s="67" t="s">
        <v>17</v>
      </c>
      <c r="J305" s="67"/>
      <c r="K305" s="67"/>
      <c r="L305" s="67"/>
      <c r="M305" s="73" t="s">
        <v>132</v>
      </c>
      <c r="N305" s="67" t="s">
        <v>20</v>
      </c>
      <c r="O305" s="59" t="s">
        <v>59</v>
      </c>
      <c r="P305" s="59"/>
      <c r="Q305" s="59" t="s">
        <v>1154</v>
      </c>
      <c r="R305" s="76" t="s">
        <v>287</v>
      </c>
      <c r="S305" s="59"/>
      <c r="T305" s="59"/>
      <c r="U305" s="164" t="s">
        <v>1155</v>
      </c>
      <c r="V305" s="77" t="s">
        <v>62</v>
      </c>
      <c r="W305" s="84">
        <v>46178.0</v>
      </c>
      <c r="X305" s="84"/>
      <c r="Y305" s="84"/>
      <c r="Z305" s="84"/>
      <c r="AA305" s="59"/>
      <c r="AB305" s="59" t="s">
        <v>78</v>
      </c>
      <c r="AC305" s="59"/>
      <c r="AD305" s="85"/>
      <c r="AE305" s="114"/>
    </row>
    <row r="306" ht="15.75" customHeight="1">
      <c r="A306" s="87"/>
      <c r="B306" s="87" t="s">
        <v>230</v>
      </c>
      <c r="C306" s="88" t="s">
        <v>1162</v>
      </c>
      <c r="D306" s="88" t="s">
        <v>51</v>
      </c>
      <c r="E306" s="88">
        <v>6000.0</v>
      </c>
      <c r="F306" s="90">
        <v>4200.0</v>
      </c>
      <c r="G306" s="90" t="s">
        <v>53</v>
      </c>
      <c r="H306" s="91">
        <v>46266.0</v>
      </c>
      <c r="I306" s="92" t="s">
        <v>17</v>
      </c>
      <c r="J306" s="92" t="s">
        <v>54</v>
      </c>
      <c r="K306" s="92" t="s">
        <v>55</v>
      </c>
      <c r="L306" s="92" t="s">
        <v>56</v>
      </c>
      <c r="M306" s="92" t="s">
        <v>57</v>
      </c>
      <c r="N306" s="87" t="s">
        <v>20</v>
      </c>
      <c r="O306" s="87" t="s">
        <v>59</v>
      </c>
      <c r="P306" s="87"/>
      <c r="Q306" s="87" t="s">
        <v>1164</v>
      </c>
      <c r="R306" s="93" t="s">
        <v>373</v>
      </c>
      <c r="S306" s="87"/>
      <c r="T306" s="87"/>
      <c r="U306" s="94" t="s">
        <v>1166</v>
      </c>
      <c r="V306" s="94" t="s">
        <v>230</v>
      </c>
      <c r="W306" s="97"/>
      <c r="X306" s="97"/>
      <c r="Y306" s="97"/>
      <c r="Z306" s="97"/>
      <c r="AA306" s="87"/>
      <c r="AB306" s="87"/>
      <c r="AC306" s="87"/>
      <c r="AD306" s="99"/>
      <c r="AE306" s="119">
        <v>1.0</v>
      </c>
    </row>
    <row r="307" ht="15.75" customHeight="1">
      <c r="A307" s="67"/>
      <c r="B307" s="67" t="s">
        <v>101</v>
      </c>
      <c r="C307" s="81" t="s">
        <v>1167</v>
      </c>
      <c r="D307" s="81" t="s">
        <v>51</v>
      </c>
      <c r="E307" s="81">
        <v>1.0</v>
      </c>
      <c r="F307" s="113">
        <v>72000.0</v>
      </c>
      <c r="G307" s="73" t="s">
        <v>53</v>
      </c>
      <c r="H307" s="83">
        <v>46365.0</v>
      </c>
      <c r="I307" s="67" t="s">
        <v>17</v>
      </c>
      <c r="J307" s="67" t="s">
        <v>54</v>
      </c>
      <c r="K307" s="67" t="s">
        <v>1147</v>
      </c>
      <c r="L307" s="67" t="s">
        <v>67</v>
      </c>
      <c r="M307" s="67"/>
      <c r="N307" s="67" t="s">
        <v>20</v>
      </c>
      <c r="O307" s="59" t="s">
        <v>59</v>
      </c>
      <c r="P307" s="59"/>
      <c r="Q307" s="59" t="s">
        <v>1168</v>
      </c>
      <c r="R307" s="67"/>
      <c r="S307" s="59"/>
      <c r="T307" s="59"/>
      <c r="U307" s="165" t="s">
        <v>1169</v>
      </c>
      <c r="V307" s="77" t="s">
        <v>101</v>
      </c>
      <c r="W307" s="84">
        <v>46189.0</v>
      </c>
      <c r="X307" s="84">
        <v>46219.0</v>
      </c>
      <c r="Y307" s="84">
        <v>46250.0</v>
      </c>
      <c r="Z307" s="84">
        <f>Y307+45</f>
        <v>46295</v>
      </c>
      <c r="AA307" s="59"/>
      <c r="AB307" s="59"/>
      <c r="AC307" s="59"/>
      <c r="AD307" s="85"/>
      <c r="AE307" s="114"/>
    </row>
    <row r="308" ht="15.75" customHeight="1">
      <c r="A308" s="92"/>
      <c r="B308" s="92" t="s">
        <v>184</v>
      </c>
      <c r="C308" s="116" t="s">
        <v>1170</v>
      </c>
      <c r="D308" s="116" t="s">
        <v>51</v>
      </c>
      <c r="E308" s="116">
        <v>290.0</v>
      </c>
      <c r="F308" s="117">
        <v>168130.4</v>
      </c>
      <c r="G308" s="90" t="s">
        <v>53</v>
      </c>
      <c r="H308" s="118">
        <v>46275.0</v>
      </c>
      <c r="I308" s="92" t="s">
        <v>17</v>
      </c>
      <c r="J308" s="92" t="s">
        <v>54</v>
      </c>
      <c r="K308" s="92" t="s">
        <v>66</v>
      </c>
      <c r="L308" s="92" t="s">
        <v>56</v>
      </c>
      <c r="M308" s="92"/>
      <c r="N308" s="92" t="s">
        <v>20</v>
      </c>
      <c r="O308" s="87"/>
      <c r="P308" s="87"/>
      <c r="Q308" s="87" t="s">
        <v>1171</v>
      </c>
      <c r="R308" s="92"/>
      <c r="S308" s="87"/>
      <c r="T308" s="87"/>
      <c r="U308" s="94" t="s">
        <v>1172</v>
      </c>
      <c r="V308" s="94" t="s">
        <v>280</v>
      </c>
      <c r="W308" s="97"/>
      <c r="X308" s="97"/>
      <c r="Y308" s="97"/>
      <c r="Z308" s="97"/>
      <c r="AA308" s="87"/>
      <c r="AB308" s="87"/>
      <c r="AC308" s="87"/>
      <c r="AD308" s="99"/>
      <c r="AE308" s="119"/>
    </row>
    <row r="309" ht="15.75" customHeight="1">
      <c r="A309" s="59"/>
      <c r="B309" s="59" t="s">
        <v>101</v>
      </c>
      <c r="C309" s="60" t="s">
        <v>1173</v>
      </c>
      <c r="D309" s="60" t="s">
        <v>51</v>
      </c>
      <c r="E309" s="60">
        <v>2.0</v>
      </c>
      <c r="F309" s="138">
        <v>5000.0</v>
      </c>
      <c r="G309" s="73" t="s">
        <v>53</v>
      </c>
      <c r="H309" s="74">
        <v>46266.0</v>
      </c>
      <c r="I309" s="67" t="s">
        <v>18</v>
      </c>
      <c r="J309" s="67" t="s">
        <v>54</v>
      </c>
      <c r="K309" s="67" t="s">
        <v>83</v>
      </c>
      <c r="L309" s="67" t="s">
        <v>56</v>
      </c>
      <c r="M309" s="67"/>
      <c r="N309" s="59" t="s">
        <v>20</v>
      </c>
      <c r="O309" s="59" t="s">
        <v>59</v>
      </c>
      <c r="P309" s="59"/>
      <c r="Q309" s="59" t="s">
        <v>1176</v>
      </c>
      <c r="R309" s="40" t="s">
        <v>736</v>
      </c>
      <c r="S309" s="59"/>
      <c r="T309" s="59"/>
      <c r="U309" s="77" t="s">
        <v>1177</v>
      </c>
      <c r="V309" s="77" t="s">
        <v>101</v>
      </c>
      <c r="W309" s="84"/>
      <c r="X309" s="84"/>
      <c r="Y309" s="84"/>
      <c r="Z309" s="84"/>
      <c r="AA309" s="59"/>
      <c r="AB309" s="59"/>
      <c r="AC309" s="59"/>
      <c r="AD309" s="85"/>
      <c r="AE309" s="114"/>
    </row>
    <row r="310" ht="15.75" customHeight="1">
      <c r="A310" s="87"/>
      <c r="B310" s="87" t="s">
        <v>101</v>
      </c>
      <c r="C310" s="88" t="s">
        <v>1178</v>
      </c>
      <c r="D310" s="88" t="s">
        <v>51</v>
      </c>
      <c r="E310" s="88">
        <v>2.0</v>
      </c>
      <c r="F310" s="138">
        <v>7000.0</v>
      </c>
      <c r="G310" s="90" t="s">
        <v>53</v>
      </c>
      <c r="H310" s="91">
        <v>46266.0</v>
      </c>
      <c r="I310" s="92" t="s">
        <v>18</v>
      </c>
      <c r="J310" s="92" t="s">
        <v>54</v>
      </c>
      <c r="K310" s="92" t="s">
        <v>83</v>
      </c>
      <c r="L310" s="92" t="s">
        <v>56</v>
      </c>
      <c r="M310" s="92"/>
      <c r="N310" s="87" t="s">
        <v>20</v>
      </c>
      <c r="O310" s="87" t="s">
        <v>59</v>
      </c>
      <c r="P310" s="87"/>
      <c r="Q310" s="87" t="s">
        <v>1176</v>
      </c>
      <c r="R310" s="166" t="s">
        <v>736</v>
      </c>
      <c r="S310" s="87"/>
      <c r="T310" s="87"/>
      <c r="U310" s="94" t="s">
        <v>1177</v>
      </c>
      <c r="V310" s="94" t="s">
        <v>101</v>
      </c>
      <c r="W310" s="97"/>
      <c r="X310" s="97"/>
      <c r="Y310" s="97"/>
      <c r="Z310" s="97"/>
      <c r="AA310" s="87"/>
      <c r="AB310" s="87"/>
      <c r="AC310" s="87"/>
      <c r="AD310" s="99"/>
      <c r="AE310" s="119"/>
    </row>
    <row r="311" ht="15.75" customHeight="1">
      <c r="A311" s="59"/>
      <c r="B311" s="59" t="s">
        <v>101</v>
      </c>
      <c r="C311" s="60" t="s">
        <v>1179</v>
      </c>
      <c r="D311" s="60" t="s">
        <v>51</v>
      </c>
      <c r="E311" s="60">
        <v>2.0</v>
      </c>
      <c r="F311" s="138">
        <v>2200.0</v>
      </c>
      <c r="G311" s="73" t="s">
        <v>53</v>
      </c>
      <c r="H311" s="74">
        <v>46266.0</v>
      </c>
      <c r="I311" s="67" t="s">
        <v>18</v>
      </c>
      <c r="J311" s="67" t="s">
        <v>54</v>
      </c>
      <c r="K311" s="67" t="s">
        <v>83</v>
      </c>
      <c r="L311" s="67" t="s">
        <v>56</v>
      </c>
      <c r="M311" s="67"/>
      <c r="N311" s="59" t="s">
        <v>20</v>
      </c>
      <c r="O311" s="59" t="s">
        <v>59</v>
      </c>
      <c r="P311" s="59"/>
      <c r="Q311" s="59" t="s">
        <v>1176</v>
      </c>
      <c r="R311" s="40" t="s">
        <v>736</v>
      </c>
      <c r="S311" s="59"/>
      <c r="T311" s="59"/>
      <c r="U311" s="77" t="s">
        <v>1177</v>
      </c>
      <c r="V311" s="77" t="s">
        <v>101</v>
      </c>
      <c r="W311" s="84"/>
      <c r="X311" s="84"/>
      <c r="Y311" s="84"/>
      <c r="Z311" s="84"/>
      <c r="AA311" s="59"/>
      <c r="AB311" s="59"/>
      <c r="AC311" s="59"/>
      <c r="AD311" s="85"/>
      <c r="AE311" s="114"/>
    </row>
    <row r="312" ht="15.75" customHeight="1">
      <c r="A312" s="87"/>
      <c r="B312" s="87" t="s">
        <v>101</v>
      </c>
      <c r="C312" s="88" t="s">
        <v>1182</v>
      </c>
      <c r="D312" s="88" t="s">
        <v>51</v>
      </c>
      <c r="E312" s="88">
        <v>2.0</v>
      </c>
      <c r="F312" s="138">
        <v>4400.0</v>
      </c>
      <c r="G312" s="90" t="s">
        <v>53</v>
      </c>
      <c r="H312" s="91">
        <v>46266.0</v>
      </c>
      <c r="I312" s="92" t="s">
        <v>18</v>
      </c>
      <c r="J312" s="92" t="s">
        <v>54</v>
      </c>
      <c r="K312" s="92" t="s">
        <v>83</v>
      </c>
      <c r="L312" s="92" t="s">
        <v>56</v>
      </c>
      <c r="M312" s="92"/>
      <c r="N312" s="87" t="s">
        <v>20</v>
      </c>
      <c r="O312" s="87" t="s">
        <v>59</v>
      </c>
      <c r="P312" s="87"/>
      <c r="Q312" s="87" t="s">
        <v>1176</v>
      </c>
      <c r="R312" s="166" t="s">
        <v>736</v>
      </c>
      <c r="S312" s="87"/>
      <c r="T312" s="87"/>
      <c r="U312" s="94" t="s">
        <v>1177</v>
      </c>
      <c r="V312" s="94" t="s">
        <v>101</v>
      </c>
      <c r="W312" s="97"/>
      <c r="X312" s="97"/>
      <c r="Y312" s="97"/>
      <c r="Z312" s="97"/>
      <c r="AA312" s="87"/>
      <c r="AB312" s="87"/>
      <c r="AC312" s="87"/>
      <c r="AD312" s="99"/>
      <c r="AE312" s="119"/>
    </row>
    <row r="313" ht="15.75" customHeight="1">
      <c r="A313" s="59"/>
      <c r="B313" s="59" t="s">
        <v>101</v>
      </c>
      <c r="C313" s="60" t="s">
        <v>1185</v>
      </c>
      <c r="D313" s="60" t="s">
        <v>51</v>
      </c>
      <c r="E313" s="60">
        <v>2.0</v>
      </c>
      <c r="F313" s="138">
        <v>94456.0</v>
      </c>
      <c r="G313" s="73" t="s">
        <v>53</v>
      </c>
      <c r="H313" s="74">
        <v>46266.0</v>
      </c>
      <c r="I313" s="67" t="s">
        <v>18</v>
      </c>
      <c r="J313" s="67" t="s">
        <v>54</v>
      </c>
      <c r="K313" s="67" t="s">
        <v>83</v>
      </c>
      <c r="L313" s="67" t="s">
        <v>56</v>
      </c>
      <c r="M313" s="67"/>
      <c r="N313" s="59" t="s">
        <v>20</v>
      </c>
      <c r="O313" s="59" t="s">
        <v>59</v>
      </c>
      <c r="P313" s="59"/>
      <c r="Q313" s="59" t="s">
        <v>1176</v>
      </c>
      <c r="R313" s="40" t="s">
        <v>736</v>
      </c>
      <c r="S313" s="59"/>
      <c r="T313" s="59"/>
      <c r="U313" s="77" t="s">
        <v>1177</v>
      </c>
      <c r="V313" s="77" t="s">
        <v>101</v>
      </c>
      <c r="W313" s="84"/>
      <c r="X313" s="84"/>
      <c r="Y313" s="84"/>
      <c r="Z313" s="84"/>
      <c r="AA313" s="59"/>
      <c r="AB313" s="59"/>
      <c r="AC313" s="59"/>
      <c r="AD313" s="85"/>
      <c r="AE313" s="114"/>
    </row>
    <row r="314" ht="15.75" customHeight="1">
      <c r="A314" s="87"/>
      <c r="B314" s="87" t="s">
        <v>101</v>
      </c>
      <c r="C314" s="88" t="s">
        <v>1187</v>
      </c>
      <c r="D314" s="88" t="s">
        <v>51</v>
      </c>
      <c r="E314" s="88">
        <v>2.0</v>
      </c>
      <c r="F314" s="138">
        <v>4000.0</v>
      </c>
      <c r="G314" s="90" t="s">
        <v>53</v>
      </c>
      <c r="H314" s="91">
        <v>46266.0</v>
      </c>
      <c r="I314" s="92" t="s">
        <v>18</v>
      </c>
      <c r="J314" s="92" t="s">
        <v>54</v>
      </c>
      <c r="K314" s="92" t="s">
        <v>83</v>
      </c>
      <c r="L314" s="92" t="s">
        <v>56</v>
      </c>
      <c r="M314" s="92"/>
      <c r="N314" s="87" t="s">
        <v>20</v>
      </c>
      <c r="O314" s="87" t="s">
        <v>59</v>
      </c>
      <c r="P314" s="87"/>
      <c r="Q314" s="87" t="s">
        <v>1176</v>
      </c>
      <c r="R314" s="166" t="s">
        <v>736</v>
      </c>
      <c r="S314" s="87"/>
      <c r="T314" s="87"/>
      <c r="U314" s="94" t="s">
        <v>1177</v>
      </c>
      <c r="V314" s="94" t="s">
        <v>101</v>
      </c>
      <c r="W314" s="97"/>
      <c r="X314" s="97"/>
      <c r="Y314" s="97"/>
      <c r="Z314" s="97"/>
      <c r="AA314" s="87"/>
      <c r="AB314" s="87"/>
      <c r="AC314" s="87"/>
      <c r="AD314" s="99"/>
      <c r="AE314" s="119"/>
    </row>
    <row r="315" ht="15.75" customHeight="1">
      <c r="A315" s="59"/>
      <c r="B315" s="59" t="s">
        <v>101</v>
      </c>
      <c r="C315" s="60" t="s">
        <v>1189</v>
      </c>
      <c r="D315" s="60" t="s">
        <v>51</v>
      </c>
      <c r="E315" s="60">
        <v>2.0</v>
      </c>
      <c r="F315" s="138">
        <v>120000.0</v>
      </c>
      <c r="G315" s="73" t="s">
        <v>53</v>
      </c>
      <c r="H315" s="74">
        <v>46266.0</v>
      </c>
      <c r="I315" s="67" t="s">
        <v>18</v>
      </c>
      <c r="J315" s="67" t="s">
        <v>54</v>
      </c>
      <c r="K315" s="67" t="s">
        <v>83</v>
      </c>
      <c r="L315" s="67" t="s">
        <v>56</v>
      </c>
      <c r="M315" s="67"/>
      <c r="N315" s="59" t="s">
        <v>20</v>
      </c>
      <c r="O315" s="59" t="s">
        <v>59</v>
      </c>
      <c r="P315" s="59"/>
      <c r="Q315" s="59" t="s">
        <v>1176</v>
      </c>
      <c r="R315" s="40" t="s">
        <v>736</v>
      </c>
      <c r="S315" s="59"/>
      <c r="T315" s="59"/>
      <c r="U315" s="77" t="s">
        <v>1177</v>
      </c>
      <c r="V315" s="77" t="s">
        <v>101</v>
      </c>
      <c r="W315" s="84"/>
      <c r="X315" s="84"/>
      <c r="Y315" s="84"/>
      <c r="Z315" s="84"/>
      <c r="AA315" s="59"/>
      <c r="AB315" s="59"/>
      <c r="AC315" s="59"/>
      <c r="AD315" s="85"/>
      <c r="AE315" s="114"/>
    </row>
    <row r="316" ht="15.75" customHeight="1">
      <c r="A316" s="87"/>
      <c r="B316" s="87" t="s">
        <v>49</v>
      </c>
      <c r="C316" s="162" t="s">
        <v>1190</v>
      </c>
      <c r="D316" s="88" t="s">
        <v>51</v>
      </c>
      <c r="E316" s="88">
        <v>1.0</v>
      </c>
      <c r="F316" s="90">
        <v>20000.0</v>
      </c>
      <c r="G316" s="90" t="s">
        <v>53</v>
      </c>
      <c r="H316" s="91">
        <v>46304.0</v>
      </c>
      <c r="I316" s="92" t="s">
        <v>17</v>
      </c>
      <c r="J316" s="92" t="s">
        <v>54</v>
      </c>
      <c r="K316" s="92" t="s">
        <v>55</v>
      </c>
      <c r="L316" s="92" t="s">
        <v>56</v>
      </c>
      <c r="M316" s="92" t="s">
        <v>57</v>
      </c>
      <c r="N316" s="87" t="s">
        <v>20</v>
      </c>
      <c r="O316" s="87" t="s">
        <v>59</v>
      </c>
      <c r="P316" s="87"/>
      <c r="Q316" s="87" t="s">
        <v>1191</v>
      </c>
      <c r="R316" s="93" t="s">
        <v>373</v>
      </c>
      <c r="S316" s="87"/>
      <c r="T316" s="87"/>
      <c r="U316" s="94" t="s">
        <v>1194</v>
      </c>
      <c r="V316" s="94" t="s">
        <v>62</v>
      </c>
      <c r="W316" s="97"/>
      <c r="X316" s="97"/>
      <c r="Y316" s="97"/>
      <c r="Z316" s="97"/>
      <c r="AA316" s="87"/>
      <c r="AB316" s="87"/>
      <c r="AC316" s="87"/>
      <c r="AD316" s="99"/>
      <c r="AE316" s="119"/>
    </row>
    <row r="317" ht="15.75" customHeight="1">
      <c r="A317" s="59"/>
      <c r="B317" s="59" t="s">
        <v>361</v>
      </c>
      <c r="C317" s="162" t="s">
        <v>1196</v>
      </c>
      <c r="D317" s="60" t="s">
        <v>51</v>
      </c>
      <c r="E317" s="60">
        <v>1.0</v>
      </c>
      <c r="F317" s="138">
        <v>20000.0</v>
      </c>
      <c r="G317" s="73" t="s">
        <v>53</v>
      </c>
      <c r="H317" s="74">
        <v>46266.0</v>
      </c>
      <c r="I317" s="67" t="s">
        <v>17</v>
      </c>
      <c r="J317" s="67" t="s">
        <v>54</v>
      </c>
      <c r="K317" s="67" t="s">
        <v>55</v>
      </c>
      <c r="L317" s="67" t="s">
        <v>56</v>
      </c>
      <c r="M317" s="67" t="s">
        <v>57</v>
      </c>
      <c r="N317" s="59" t="s">
        <v>20</v>
      </c>
      <c r="O317" s="59" t="s">
        <v>59</v>
      </c>
      <c r="P317" s="59"/>
      <c r="Q317" s="59" t="s">
        <v>1198</v>
      </c>
      <c r="R317" s="67" t="s">
        <v>61</v>
      </c>
      <c r="S317" s="59"/>
      <c r="T317" s="59"/>
      <c r="U317" s="77" t="s">
        <v>1199</v>
      </c>
      <c r="V317" s="77" t="s">
        <v>361</v>
      </c>
      <c r="W317" s="84"/>
      <c r="X317" s="84"/>
      <c r="Y317" s="84"/>
      <c r="Z317" s="84"/>
      <c r="AA317" s="59"/>
      <c r="AB317" s="59"/>
      <c r="AC317" s="59"/>
      <c r="AD317" s="85"/>
      <c r="AE317" s="114"/>
    </row>
    <row r="318" ht="15.75" customHeight="1">
      <c r="A318" s="87"/>
      <c r="B318" s="87" t="s">
        <v>361</v>
      </c>
      <c r="C318" s="88" t="s">
        <v>1200</v>
      </c>
      <c r="D318" s="88" t="s">
        <v>51</v>
      </c>
      <c r="E318" s="88">
        <v>1.0</v>
      </c>
      <c r="F318" s="138">
        <v>30000.0</v>
      </c>
      <c r="G318" s="90" t="s">
        <v>53</v>
      </c>
      <c r="H318" s="91">
        <v>46266.0</v>
      </c>
      <c r="I318" s="92" t="s">
        <v>18</v>
      </c>
      <c r="J318" s="92" t="s">
        <v>54</v>
      </c>
      <c r="K318" s="92" t="s">
        <v>83</v>
      </c>
      <c r="L318" s="92" t="s">
        <v>56</v>
      </c>
      <c r="M318" s="92"/>
      <c r="N318" s="87" t="s">
        <v>20</v>
      </c>
      <c r="O318" s="87"/>
      <c r="P318" s="87"/>
      <c r="Q318" s="87" t="s">
        <v>1201</v>
      </c>
      <c r="R318" s="92" t="s">
        <v>61</v>
      </c>
      <c r="S318" s="87"/>
      <c r="T318" s="87"/>
      <c r="U318" s="94" t="s">
        <v>1203</v>
      </c>
      <c r="V318" s="94" t="s">
        <v>361</v>
      </c>
      <c r="W318" s="97"/>
      <c r="X318" s="97"/>
      <c r="Y318" s="97"/>
      <c r="Z318" s="97"/>
      <c r="AA318" s="87"/>
      <c r="AB318" s="87"/>
      <c r="AC318" s="87"/>
      <c r="AD318" s="99"/>
      <c r="AE318" s="119"/>
    </row>
    <row r="319" ht="15.75" customHeight="1">
      <c r="A319" s="67"/>
      <c r="B319" s="67" t="s">
        <v>136</v>
      </c>
      <c r="C319" s="162" t="s">
        <v>1205</v>
      </c>
      <c r="D319" s="81" t="s">
        <v>51</v>
      </c>
      <c r="E319" s="81">
        <v>1.0</v>
      </c>
      <c r="F319" s="113">
        <v>21000.0</v>
      </c>
      <c r="G319" s="73"/>
      <c r="H319" s="83"/>
      <c r="I319" s="67" t="s">
        <v>17</v>
      </c>
      <c r="J319" s="67" t="s">
        <v>54</v>
      </c>
      <c r="K319" s="67"/>
      <c r="L319" s="67"/>
      <c r="M319" s="67"/>
      <c r="N319" s="67"/>
      <c r="O319" s="59"/>
      <c r="P319" s="59"/>
      <c r="Q319" s="59"/>
      <c r="R319" s="67"/>
      <c r="S319" s="59"/>
      <c r="T319" s="59"/>
      <c r="U319" s="77" t="s">
        <v>1206</v>
      </c>
      <c r="V319" s="77" t="s">
        <v>280</v>
      </c>
      <c r="W319" s="84"/>
      <c r="X319" s="84"/>
      <c r="Y319" s="84"/>
      <c r="Z319" s="84"/>
      <c r="AA319" s="59"/>
      <c r="AB319" s="59"/>
      <c r="AC319" s="59"/>
      <c r="AD319" s="85"/>
      <c r="AE319" s="114">
        <v>1.0</v>
      </c>
    </row>
    <row r="320" ht="15.75" customHeight="1">
      <c r="A320" s="87"/>
      <c r="B320" s="87" t="s">
        <v>73</v>
      </c>
      <c r="C320" s="88" t="s">
        <v>1207</v>
      </c>
      <c r="D320" s="88" t="s">
        <v>51</v>
      </c>
      <c r="E320" s="88">
        <v>12.0</v>
      </c>
      <c r="F320" s="62">
        <v>4740000.0</v>
      </c>
      <c r="G320" s="90" t="s">
        <v>53</v>
      </c>
      <c r="H320" s="118">
        <v>46266.0</v>
      </c>
      <c r="I320" s="92" t="s">
        <v>18</v>
      </c>
      <c r="J320" s="92" t="s">
        <v>54</v>
      </c>
      <c r="K320" s="92" t="s">
        <v>83</v>
      </c>
      <c r="L320" s="92" t="s">
        <v>56</v>
      </c>
      <c r="M320" s="92" t="s">
        <v>84</v>
      </c>
      <c r="N320" s="92" t="s">
        <v>20</v>
      </c>
      <c r="O320" s="87" t="s">
        <v>59</v>
      </c>
      <c r="P320" s="87"/>
      <c r="Q320" s="87"/>
      <c r="R320" s="92" t="s">
        <v>330</v>
      </c>
      <c r="S320" s="87"/>
      <c r="T320" s="87"/>
      <c r="U320" s="94" t="str">
        <f t="array" ref="U320">IFERROR(INDEX(DFD!$D$2:$D$1048791,MATCH($Q320,DFD!$B$2:$B$1048791,0)),"")</f>
        <v/>
      </c>
      <c r="V320" s="94" t="str">
        <f t="array" ref="V320">IFERROR(INDEX(DFD!$F$2:$F$1048791,MATCH($Q320,DFD!$B$2:$B$1048791,0)),"")</f>
        <v/>
      </c>
      <c r="W320" s="97" t="str">
        <f t="array" ref="W320">IFERROR(INDEX(DFD!$E$2:$E$1048791,MATCH($Q320,DFD!$B$2:$B$1048791,0)),"")</f>
        <v/>
      </c>
      <c r="X320" s="97" t="str">
        <f t="array" ref="X320">IFERROR(INDEX(DFD!$K$2:$K$1048791,MATCH($Q320,DFD!$B$2:$B$1048791,0)),"")</f>
        <v/>
      </c>
      <c r="Y320" s="97" t="str">
        <f t="array" ref="Y320">IFERROR(INDEX(DFD!$L$2:$L$1048790,MATCH($Q320,DFD!$B$2:$B$1048790,0)),"")</f>
        <v/>
      </c>
      <c r="Z320" s="97">
        <f t="shared" ref="Z320:Z344" si="8">Y320+45</f>
        <v>45</v>
      </c>
      <c r="AA320" s="87"/>
      <c r="AB320" s="87" t="s">
        <v>72</v>
      </c>
      <c r="AC320" s="87"/>
      <c r="AD320" s="99">
        <v>46043.0</v>
      </c>
      <c r="AE320" s="119">
        <f t="shared" ref="AE320:AE344" si="9">SUBTOTAL(103, R320)</f>
        <v>1</v>
      </c>
    </row>
    <row r="321" ht="15.75" customHeight="1">
      <c r="A321" s="59"/>
      <c r="B321" s="67" t="s">
        <v>355</v>
      </c>
      <c r="C321" s="81" t="s">
        <v>1211</v>
      </c>
      <c r="D321" s="81" t="s">
        <v>51</v>
      </c>
      <c r="E321" s="81">
        <v>1.0</v>
      </c>
      <c r="F321" s="82">
        <v>500000.0</v>
      </c>
      <c r="G321" s="73" t="s">
        <v>53</v>
      </c>
      <c r="H321" s="83">
        <v>46266.0</v>
      </c>
      <c r="I321" s="67" t="s">
        <v>18</v>
      </c>
      <c r="J321" s="67" t="s">
        <v>54</v>
      </c>
      <c r="K321" s="67" t="s">
        <v>83</v>
      </c>
      <c r="L321" s="67" t="s">
        <v>56</v>
      </c>
      <c r="M321" s="67" t="s">
        <v>84</v>
      </c>
      <c r="N321" s="67" t="s">
        <v>20</v>
      </c>
      <c r="O321" s="67" t="s">
        <v>59</v>
      </c>
      <c r="P321" s="59"/>
      <c r="Q321" s="59"/>
      <c r="R321" s="67" t="s">
        <v>330</v>
      </c>
      <c r="S321" s="59"/>
      <c r="T321" s="59"/>
      <c r="U321" s="77" t="str">
        <f t="array" ref="U321">IFERROR(INDEX(DFD!$D$2:$D$1048791,MATCH($Q321,DFD!$B$2:$B$1048791,0)),"")</f>
        <v/>
      </c>
      <c r="V321" s="77" t="str">
        <f t="array" ref="V321">IFERROR(INDEX(DFD!$F$2:$F$1048791,MATCH($Q321,DFD!$B$2:$B$1048791,0)),"")</f>
        <v/>
      </c>
      <c r="W321" s="84" t="str">
        <f t="array" ref="W321">IFERROR(INDEX(DFD!$E$2:$E$1048791,MATCH($Q321,DFD!$B$2:$B$1048791,0)),"")</f>
        <v/>
      </c>
      <c r="X321" s="84" t="str">
        <f t="array" ref="X321">IFERROR(INDEX(DFD!$K$2:$K$1048791,MATCH($Q321,DFD!$B$2:$B$1048791,0)),"")</f>
        <v/>
      </c>
      <c r="Y321" s="84" t="str">
        <f t="array" ref="Y321">IFERROR(INDEX(DFD!$L$2:$L$1048790,MATCH($Q321,DFD!$B$2:$B$1048790,0)),"")</f>
        <v/>
      </c>
      <c r="Z321" s="84">
        <f t="shared" si="8"/>
        <v>45</v>
      </c>
      <c r="AA321" s="59"/>
      <c r="AB321" s="59" t="s">
        <v>72</v>
      </c>
      <c r="AC321" s="59"/>
      <c r="AD321" s="85">
        <v>46043.0</v>
      </c>
      <c r="AE321" s="114">
        <f t="shared" si="9"/>
        <v>1</v>
      </c>
    </row>
    <row r="322" ht="15.75" customHeight="1">
      <c r="A322" s="92"/>
      <c r="B322" s="92" t="s">
        <v>101</v>
      </c>
      <c r="C322" s="80" t="s">
        <v>1214</v>
      </c>
      <c r="D322" s="116" t="s">
        <v>51</v>
      </c>
      <c r="E322" s="116">
        <v>17.0</v>
      </c>
      <c r="F322" s="117">
        <v>49300.0</v>
      </c>
      <c r="G322" s="90" t="s">
        <v>53</v>
      </c>
      <c r="H322" s="118">
        <v>46266.0</v>
      </c>
      <c r="I322" s="92" t="s">
        <v>18</v>
      </c>
      <c r="J322" s="92" t="s">
        <v>54</v>
      </c>
      <c r="K322" s="92" t="s">
        <v>83</v>
      </c>
      <c r="L322" s="92" t="s">
        <v>197</v>
      </c>
      <c r="M322" s="92" t="s">
        <v>84</v>
      </c>
      <c r="N322" s="92" t="s">
        <v>20</v>
      </c>
      <c r="O322" s="87" t="s">
        <v>59</v>
      </c>
      <c r="P322" s="87"/>
      <c r="Q322" s="87"/>
      <c r="R322" s="92" t="s">
        <v>442</v>
      </c>
      <c r="S322" s="87"/>
      <c r="T322" s="87"/>
      <c r="U322" s="94" t="str">
        <f t="array" ref="U322">IFERROR(INDEX(DFD!$D$2:$D$1048791,MATCH($Q322,DFD!$B$2:$B$1048791,0)),"")</f>
        <v/>
      </c>
      <c r="V322" s="94" t="str">
        <f t="array" ref="V322">IFERROR(INDEX(DFD!$F$2:$F$1048791,MATCH($Q322,DFD!$B$2:$B$1048791,0)),"")</f>
        <v/>
      </c>
      <c r="W322" s="97" t="str">
        <f t="array" ref="W322">IFERROR(INDEX(DFD!$E$2:$E$1048791,MATCH($Q322,DFD!$B$2:$B$1048791,0)),"")</f>
        <v/>
      </c>
      <c r="X322" s="97" t="str">
        <f t="array" ref="X322">IFERROR(INDEX(DFD!$K$2:$K$1048791,MATCH($Q322,DFD!$B$2:$B$1048791,0)),"")</f>
        <v/>
      </c>
      <c r="Y322" s="97" t="str">
        <f t="array" ref="Y322">IFERROR(INDEX(DFD!$L$2:$L$1048790,MATCH($Q322,DFD!$B$2:$B$1048790,0)),"")</f>
        <v/>
      </c>
      <c r="Z322" s="97">
        <f t="shared" si="8"/>
        <v>45</v>
      </c>
      <c r="AA322" s="87"/>
      <c r="AB322" s="87" t="s">
        <v>72</v>
      </c>
      <c r="AC322" s="87"/>
      <c r="AD322" s="99">
        <v>46043.0</v>
      </c>
      <c r="AE322" s="119">
        <f t="shared" si="9"/>
        <v>1</v>
      </c>
    </row>
    <row r="323" ht="15.75" customHeight="1">
      <c r="A323" s="67"/>
      <c r="B323" s="67" t="s">
        <v>101</v>
      </c>
      <c r="C323" s="80" t="s">
        <v>1217</v>
      </c>
      <c r="D323" s="81" t="s">
        <v>51</v>
      </c>
      <c r="E323" s="81">
        <v>9.0</v>
      </c>
      <c r="F323" s="113">
        <v>15300.0</v>
      </c>
      <c r="G323" s="73" t="s">
        <v>53</v>
      </c>
      <c r="H323" s="83">
        <v>46235.0</v>
      </c>
      <c r="I323" s="67" t="s">
        <v>18</v>
      </c>
      <c r="J323" s="67" t="s">
        <v>54</v>
      </c>
      <c r="K323" s="67" t="s">
        <v>83</v>
      </c>
      <c r="L323" s="67" t="s">
        <v>197</v>
      </c>
      <c r="M323" s="67" t="s">
        <v>84</v>
      </c>
      <c r="N323" s="67" t="s">
        <v>20</v>
      </c>
      <c r="O323" s="59" t="s">
        <v>59</v>
      </c>
      <c r="P323" s="59"/>
      <c r="Q323" s="59"/>
      <c r="R323" s="67" t="s">
        <v>442</v>
      </c>
      <c r="S323" s="59"/>
      <c r="T323" s="59"/>
      <c r="U323" s="77" t="str">
        <f t="array" ref="U323">IFERROR(INDEX(DFD!$D$2:$D$1048791,MATCH($Q323,DFD!$B$2:$B$1048791,0)),"")</f>
        <v/>
      </c>
      <c r="V323" s="77" t="str">
        <f t="array" ref="V323">IFERROR(INDEX(DFD!$F$2:$F$1048791,MATCH($Q323,DFD!$B$2:$B$1048791,0)),"")</f>
        <v/>
      </c>
      <c r="W323" s="84" t="str">
        <f t="array" ref="W323">IFERROR(INDEX(DFD!$E$2:$E$1048791,MATCH($Q323,DFD!$B$2:$B$1048791,0)),"")</f>
        <v/>
      </c>
      <c r="X323" s="84" t="str">
        <f t="array" ref="X323">IFERROR(INDEX(DFD!$K$2:$K$1048791,MATCH($Q323,DFD!$B$2:$B$1048791,0)),"")</f>
        <v/>
      </c>
      <c r="Y323" s="84" t="str">
        <f t="array" ref="Y323">IFERROR(INDEX(DFD!$L$2:$L$1048790,MATCH($Q323,DFD!$B$2:$B$1048790,0)),"")</f>
        <v/>
      </c>
      <c r="Z323" s="84">
        <f t="shared" si="8"/>
        <v>45</v>
      </c>
      <c r="AA323" s="59"/>
      <c r="AB323" s="59" t="s">
        <v>72</v>
      </c>
      <c r="AC323" s="59"/>
      <c r="AD323" s="85">
        <v>46043.0</v>
      </c>
      <c r="AE323" s="114">
        <f t="shared" si="9"/>
        <v>1</v>
      </c>
    </row>
    <row r="324" ht="15.75" customHeight="1">
      <c r="A324" s="92"/>
      <c r="B324" s="92" t="s">
        <v>101</v>
      </c>
      <c r="C324" s="80" t="s">
        <v>1219</v>
      </c>
      <c r="D324" s="116" t="s">
        <v>51</v>
      </c>
      <c r="E324" s="116">
        <v>4.0</v>
      </c>
      <c r="F324" s="117">
        <v>30084.0</v>
      </c>
      <c r="G324" s="90" t="s">
        <v>53</v>
      </c>
      <c r="H324" s="118">
        <v>46235.0</v>
      </c>
      <c r="I324" s="92" t="s">
        <v>18</v>
      </c>
      <c r="J324" s="92" t="s">
        <v>54</v>
      </c>
      <c r="K324" s="92" t="s">
        <v>83</v>
      </c>
      <c r="L324" s="92" t="s">
        <v>56</v>
      </c>
      <c r="M324" s="92" t="s">
        <v>84</v>
      </c>
      <c r="N324" s="92" t="s">
        <v>20</v>
      </c>
      <c r="O324" s="87" t="s">
        <v>59</v>
      </c>
      <c r="P324" s="87"/>
      <c r="Q324" s="87"/>
      <c r="R324" s="92" t="s">
        <v>1122</v>
      </c>
      <c r="S324" s="87"/>
      <c r="T324" s="87"/>
      <c r="U324" s="94" t="str">
        <f t="array" ref="U324">IFERROR(INDEX(DFD!$D$2:$D$1048791,MATCH($Q324,DFD!$B$2:$B$1048791,0)),"")</f>
        <v/>
      </c>
      <c r="V324" s="94" t="str">
        <f t="array" ref="V324">IFERROR(INDEX(DFD!$F$2:$F$1048791,MATCH($Q324,DFD!$B$2:$B$1048791,0)),"")</f>
        <v/>
      </c>
      <c r="W324" s="97" t="str">
        <f t="array" ref="W324">IFERROR(INDEX(DFD!$E$2:$E$1048791,MATCH($Q324,DFD!$B$2:$B$1048791,0)),"")</f>
        <v/>
      </c>
      <c r="X324" s="97" t="str">
        <f t="array" ref="X324">IFERROR(INDEX(DFD!$K$2:$K$1048791,MATCH($Q324,DFD!$B$2:$B$1048791,0)),"")</f>
        <v/>
      </c>
      <c r="Y324" s="97" t="str">
        <f t="array" ref="Y324">IFERROR(INDEX(DFD!$L$2:$L$1048790,MATCH($Q324,DFD!$B$2:$B$1048790,0)),"")</f>
        <v/>
      </c>
      <c r="Z324" s="97">
        <f t="shared" si="8"/>
        <v>45</v>
      </c>
      <c r="AA324" s="87"/>
      <c r="AB324" s="87" t="s">
        <v>72</v>
      </c>
      <c r="AC324" s="87"/>
      <c r="AD324" s="99">
        <v>46043.0</v>
      </c>
      <c r="AE324" s="119">
        <f t="shared" si="9"/>
        <v>1</v>
      </c>
    </row>
    <row r="325" ht="15.75" customHeight="1">
      <c r="A325" s="67"/>
      <c r="B325" s="67" t="s">
        <v>101</v>
      </c>
      <c r="C325" s="80" t="s">
        <v>1221</v>
      </c>
      <c r="D325" s="81" t="s">
        <v>51</v>
      </c>
      <c r="E325" s="81">
        <v>6.0</v>
      </c>
      <c r="F325" s="113">
        <v>4200.0</v>
      </c>
      <c r="G325" s="73" t="s">
        <v>53</v>
      </c>
      <c r="H325" s="83">
        <v>46204.0</v>
      </c>
      <c r="I325" s="67" t="s">
        <v>18</v>
      </c>
      <c r="J325" s="67" t="s">
        <v>54</v>
      </c>
      <c r="K325" s="67" t="s">
        <v>83</v>
      </c>
      <c r="L325" s="67" t="s">
        <v>56</v>
      </c>
      <c r="M325" s="67" t="s">
        <v>84</v>
      </c>
      <c r="N325" s="67" t="s">
        <v>20</v>
      </c>
      <c r="O325" s="59" t="s">
        <v>59</v>
      </c>
      <c r="P325" s="59"/>
      <c r="Q325" s="59"/>
      <c r="R325" s="67" t="s">
        <v>1122</v>
      </c>
      <c r="S325" s="59"/>
      <c r="T325" s="59"/>
      <c r="U325" s="77" t="str">
        <f t="array" ref="U325">IFERROR(INDEX(DFD!$D$2:$D$1048791,MATCH($Q325,DFD!$B$2:$B$1048791,0)),"")</f>
        <v/>
      </c>
      <c r="V325" s="77" t="str">
        <f t="array" ref="V325">IFERROR(INDEX(DFD!$F$2:$F$1048791,MATCH($Q325,DFD!$B$2:$B$1048791,0)),"")</f>
        <v/>
      </c>
      <c r="W325" s="84" t="str">
        <f t="array" ref="W325">IFERROR(INDEX(DFD!$E$2:$E$1048791,MATCH($Q325,DFD!$B$2:$B$1048791,0)),"")</f>
        <v/>
      </c>
      <c r="X325" s="84" t="str">
        <f t="array" ref="X325">IFERROR(INDEX(DFD!$K$2:$K$1048791,MATCH($Q325,DFD!$B$2:$B$1048791,0)),"")</f>
        <v/>
      </c>
      <c r="Y325" s="84" t="str">
        <f t="array" ref="Y325">IFERROR(INDEX(DFD!$L$2:$L$1048790,MATCH($Q325,DFD!$B$2:$B$1048790,0)),"")</f>
        <v/>
      </c>
      <c r="Z325" s="84">
        <f t="shared" si="8"/>
        <v>45</v>
      </c>
      <c r="AA325" s="59"/>
      <c r="AB325" s="59" t="s">
        <v>72</v>
      </c>
      <c r="AC325" s="59"/>
      <c r="AD325" s="85">
        <v>46043.0</v>
      </c>
      <c r="AE325" s="114">
        <f t="shared" si="9"/>
        <v>1</v>
      </c>
    </row>
    <row r="326" ht="15.75" customHeight="1">
      <c r="A326" s="92"/>
      <c r="B326" s="92" t="s">
        <v>123</v>
      </c>
      <c r="C326" s="80" t="s">
        <v>1224</v>
      </c>
      <c r="D326" s="116" t="s">
        <v>51</v>
      </c>
      <c r="E326" s="116">
        <v>4.0</v>
      </c>
      <c r="F326" s="117">
        <v>8000.0</v>
      </c>
      <c r="G326" s="90" t="s">
        <v>53</v>
      </c>
      <c r="H326" s="118">
        <v>46204.0</v>
      </c>
      <c r="I326" s="92" t="s">
        <v>18</v>
      </c>
      <c r="J326" s="92" t="s">
        <v>54</v>
      </c>
      <c r="K326" s="92" t="s">
        <v>83</v>
      </c>
      <c r="L326" s="92" t="s">
        <v>197</v>
      </c>
      <c r="M326" s="92" t="s">
        <v>84</v>
      </c>
      <c r="N326" s="92" t="s">
        <v>20</v>
      </c>
      <c r="O326" s="87" t="s">
        <v>59</v>
      </c>
      <c r="P326" s="87"/>
      <c r="Q326" s="87"/>
      <c r="R326" s="92" t="s">
        <v>1122</v>
      </c>
      <c r="S326" s="87"/>
      <c r="T326" s="87"/>
      <c r="U326" s="94" t="str">
        <f t="array" ref="U326">IFERROR(INDEX(DFD!$D$2:$D$1048791,MATCH($Q326,DFD!$B$2:$B$1048791,0)),"")</f>
        <v/>
      </c>
      <c r="V326" s="94" t="str">
        <f t="array" ref="V326">IFERROR(INDEX(DFD!$F$2:$F$1048791,MATCH($Q326,DFD!$B$2:$B$1048791,0)),"")</f>
        <v/>
      </c>
      <c r="W326" s="97" t="str">
        <f t="array" ref="W326">IFERROR(INDEX(DFD!$E$2:$E$1048791,MATCH($Q326,DFD!$B$2:$B$1048791,0)),"")</f>
        <v/>
      </c>
      <c r="X326" s="97" t="str">
        <f t="array" ref="X326">IFERROR(INDEX(DFD!$K$2:$K$1048791,MATCH($Q326,DFD!$B$2:$B$1048791,0)),"")</f>
        <v/>
      </c>
      <c r="Y326" s="97" t="str">
        <f t="array" ref="Y326">IFERROR(INDEX(DFD!$L$2:$L$1048790,MATCH($Q326,DFD!$B$2:$B$1048790,0)),"")</f>
        <v/>
      </c>
      <c r="Z326" s="97">
        <f t="shared" si="8"/>
        <v>45</v>
      </c>
      <c r="AA326" s="87"/>
      <c r="AB326" s="87" t="s">
        <v>72</v>
      </c>
      <c r="AC326" s="87"/>
      <c r="AD326" s="99">
        <v>46043.0</v>
      </c>
      <c r="AE326" s="119">
        <f t="shared" si="9"/>
        <v>1</v>
      </c>
    </row>
    <row r="327" ht="15.75" customHeight="1">
      <c r="A327" s="67"/>
      <c r="B327" s="67" t="s">
        <v>87</v>
      </c>
      <c r="C327" s="80" t="s">
        <v>1224</v>
      </c>
      <c r="D327" s="81" t="s">
        <v>51</v>
      </c>
      <c r="E327" s="81">
        <v>3.0</v>
      </c>
      <c r="F327" s="113">
        <v>6000.0</v>
      </c>
      <c r="G327" s="73" t="s">
        <v>53</v>
      </c>
      <c r="H327" s="83">
        <v>46204.0</v>
      </c>
      <c r="I327" s="67" t="s">
        <v>18</v>
      </c>
      <c r="J327" s="67" t="s">
        <v>54</v>
      </c>
      <c r="K327" s="67" t="s">
        <v>83</v>
      </c>
      <c r="L327" s="67" t="s">
        <v>197</v>
      </c>
      <c r="M327" s="67" t="s">
        <v>84</v>
      </c>
      <c r="N327" s="67" t="s">
        <v>20</v>
      </c>
      <c r="O327" s="59" t="s">
        <v>59</v>
      </c>
      <c r="P327" s="59"/>
      <c r="Q327" s="59"/>
      <c r="R327" s="67" t="s">
        <v>1122</v>
      </c>
      <c r="S327" s="59"/>
      <c r="T327" s="59"/>
      <c r="U327" s="77" t="str">
        <f t="array" ref="U327">IFERROR(INDEX(DFD!$D$2:$D$1048791,MATCH($Q327,DFD!$B$2:$B$1048791,0)),"")</f>
        <v/>
      </c>
      <c r="V327" s="77" t="str">
        <f t="array" ref="V327">IFERROR(INDEX(DFD!$F$2:$F$1048791,MATCH($Q327,DFD!$B$2:$B$1048791,0)),"")</f>
        <v/>
      </c>
      <c r="W327" s="84" t="str">
        <f t="array" ref="W327">IFERROR(INDEX(DFD!$E$2:$E$1048791,MATCH($Q327,DFD!$B$2:$B$1048791,0)),"")</f>
        <v/>
      </c>
      <c r="X327" s="84" t="str">
        <f t="array" ref="X327">IFERROR(INDEX(DFD!$K$2:$K$1048791,MATCH($Q327,DFD!$B$2:$B$1048791,0)),"")</f>
        <v/>
      </c>
      <c r="Y327" s="84" t="str">
        <f t="array" ref="Y327">IFERROR(INDEX(DFD!$L$2:$L$1048790,MATCH($Q327,DFD!$B$2:$B$1048790,0)),"")</f>
        <v/>
      </c>
      <c r="Z327" s="84">
        <f t="shared" si="8"/>
        <v>45</v>
      </c>
      <c r="AA327" s="59"/>
      <c r="AB327" s="59" t="s">
        <v>72</v>
      </c>
      <c r="AC327" s="59"/>
      <c r="AD327" s="85">
        <v>46043.0</v>
      </c>
      <c r="AE327" s="114">
        <f t="shared" si="9"/>
        <v>1</v>
      </c>
    </row>
    <row r="328" ht="15.75" customHeight="1">
      <c r="A328" s="92"/>
      <c r="B328" s="92" t="s">
        <v>107</v>
      </c>
      <c r="C328" s="80" t="s">
        <v>1224</v>
      </c>
      <c r="D328" s="116" t="s">
        <v>51</v>
      </c>
      <c r="E328" s="116">
        <v>1.0</v>
      </c>
      <c r="F328" s="117">
        <v>2000.0</v>
      </c>
      <c r="G328" s="90" t="s">
        <v>53</v>
      </c>
      <c r="H328" s="118">
        <v>46174.0</v>
      </c>
      <c r="I328" s="92" t="s">
        <v>18</v>
      </c>
      <c r="J328" s="92" t="s">
        <v>54</v>
      </c>
      <c r="K328" s="92" t="s">
        <v>83</v>
      </c>
      <c r="L328" s="92" t="s">
        <v>197</v>
      </c>
      <c r="M328" s="92" t="s">
        <v>84</v>
      </c>
      <c r="N328" s="92" t="s">
        <v>20</v>
      </c>
      <c r="O328" s="87" t="s">
        <v>59</v>
      </c>
      <c r="P328" s="87"/>
      <c r="Q328" s="87"/>
      <c r="R328" s="92" t="s">
        <v>1122</v>
      </c>
      <c r="S328" s="87"/>
      <c r="T328" s="87"/>
      <c r="U328" s="94" t="str">
        <f t="array" ref="U328">IFERROR(INDEX(DFD!$D$2:$D$1048791,MATCH($Q328,DFD!$B$2:$B$1048791,0)),"")</f>
        <v/>
      </c>
      <c r="V328" s="94" t="str">
        <f t="array" ref="V328">IFERROR(INDEX(DFD!$F$2:$F$1048791,MATCH($Q328,DFD!$B$2:$B$1048791,0)),"")</f>
        <v/>
      </c>
      <c r="W328" s="97" t="str">
        <f t="array" ref="W328">IFERROR(INDEX(DFD!$E$2:$E$1048791,MATCH($Q328,DFD!$B$2:$B$1048791,0)),"")</f>
        <v/>
      </c>
      <c r="X328" s="97" t="str">
        <f t="array" ref="X328">IFERROR(INDEX(DFD!$K$2:$K$1048791,MATCH($Q328,DFD!$B$2:$B$1048791,0)),"")</f>
        <v/>
      </c>
      <c r="Y328" s="97" t="str">
        <f t="array" ref="Y328">IFERROR(INDEX(DFD!$L$2:$L$1048790,MATCH($Q328,DFD!$B$2:$B$1048790,0)),"")</f>
        <v/>
      </c>
      <c r="Z328" s="97">
        <f t="shared" si="8"/>
        <v>45</v>
      </c>
      <c r="AA328" s="87"/>
      <c r="AB328" s="87" t="s">
        <v>72</v>
      </c>
      <c r="AC328" s="87"/>
      <c r="AD328" s="99">
        <v>46043.0</v>
      </c>
      <c r="AE328" s="119">
        <f t="shared" si="9"/>
        <v>1</v>
      </c>
    </row>
    <row r="329" ht="15.75" customHeight="1">
      <c r="A329" s="67"/>
      <c r="B329" s="104" t="s">
        <v>123</v>
      </c>
      <c r="C329" s="80" t="s">
        <v>1231</v>
      </c>
      <c r="D329" s="81" t="s">
        <v>51</v>
      </c>
      <c r="E329" s="81">
        <v>4.0</v>
      </c>
      <c r="F329" s="113">
        <v>6000.0</v>
      </c>
      <c r="G329" s="73" t="s">
        <v>53</v>
      </c>
      <c r="H329" s="83">
        <v>46204.0</v>
      </c>
      <c r="I329" s="67" t="s">
        <v>18</v>
      </c>
      <c r="J329" s="67" t="s">
        <v>54</v>
      </c>
      <c r="K329" s="67" t="s">
        <v>83</v>
      </c>
      <c r="L329" s="67" t="s">
        <v>197</v>
      </c>
      <c r="M329" s="67" t="s">
        <v>84</v>
      </c>
      <c r="N329" s="67" t="s">
        <v>20</v>
      </c>
      <c r="O329" s="59" t="s">
        <v>59</v>
      </c>
      <c r="P329" s="59"/>
      <c r="Q329" s="59"/>
      <c r="R329" s="67" t="s">
        <v>1122</v>
      </c>
      <c r="S329" s="59"/>
      <c r="T329" s="59"/>
      <c r="U329" s="77" t="str">
        <f t="array" ref="U329">IFERROR(INDEX(DFD!$D$2:$D$1048791,MATCH($Q329,DFD!$B$2:$B$1048791,0)),"")</f>
        <v/>
      </c>
      <c r="V329" s="77" t="str">
        <f t="array" ref="V329">IFERROR(INDEX(DFD!$F$2:$F$1048791,MATCH($Q329,DFD!$B$2:$B$1048791,0)),"")</f>
        <v/>
      </c>
      <c r="W329" s="84" t="str">
        <f t="array" ref="W329">IFERROR(INDEX(DFD!$E$2:$E$1048791,MATCH($Q329,DFD!$B$2:$B$1048791,0)),"")</f>
        <v/>
      </c>
      <c r="X329" s="84" t="str">
        <f t="array" ref="X329">IFERROR(INDEX(DFD!$K$2:$K$1048791,MATCH($Q329,DFD!$B$2:$B$1048791,0)),"")</f>
        <v/>
      </c>
      <c r="Y329" s="84" t="str">
        <f t="array" ref="Y329">IFERROR(INDEX(DFD!$L$2:$L$1048790,MATCH($Q329,DFD!$B$2:$B$1048790,0)),"")</f>
        <v/>
      </c>
      <c r="Z329" s="84">
        <f t="shared" si="8"/>
        <v>45</v>
      </c>
      <c r="AA329" s="59"/>
      <c r="AB329" s="59" t="s">
        <v>72</v>
      </c>
      <c r="AC329" s="59"/>
      <c r="AD329" s="85">
        <v>46043.0</v>
      </c>
      <c r="AE329" s="114">
        <f t="shared" si="9"/>
        <v>1</v>
      </c>
    </row>
    <row r="330" ht="15.75" customHeight="1">
      <c r="A330" s="92"/>
      <c r="B330" s="92" t="s">
        <v>87</v>
      </c>
      <c r="C330" s="80" t="s">
        <v>1231</v>
      </c>
      <c r="D330" s="116" t="s">
        <v>51</v>
      </c>
      <c r="E330" s="116">
        <v>3.0</v>
      </c>
      <c r="F330" s="117">
        <v>4500.0</v>
      </c>
      <c r="G330" s="90" t="s">
        <v>53</v>
      </c>
      <c r="H330" s="118">
        <v>46204.0</v>
      </c>
      <c r="I330" s="92" t="s">
        <v>18</v>
      </c>
      <c r="J330" s="92" t="s">
        <v>54</v>
      </c>
      <c r="K330" s="92" t="s">
        <v>83</v>
      </c>
      <c r="L330" s="92" t="s">
        <v>197</v>
      </c>
      <c r="M330" s="92" t="s">
        <v>84</v>
      </c>
      <c r="N330" s="92" t="s">
        <v>20</v>
      </c>
      <c r="O330" s="87" t="s">
        <v>59</v>
      </c>
      <c r="P330" s="87"/>
      <c r="Q330" s="87"/>
      <c r="R330" s="92" t="s">
        <v>1122</v>
      </c>
      <c r="S330" s="87"/>
      <c r="T330" s="87"/>
      <c r="U330" s="94" t="str">
        <f t="array" ref="U330">IFERROR(INDEX(DFD!$D$2:$D$1048791,MATCH($Q330,DFD!$B$2:$B$1048791,0)),"")</f>
        <v/>
      </c>
      <c r="V330" s="94" t="str">
        <f t="array" ref="V330">IFERROR(INDEX(DFD!$F$2:$F$1048791,MATCH($Q330,DFD!$B$2:$B$1048791,0)),"")</f>
        <v/>
      </c>
      <c r="W330" s="97" t="str">
        <f t="array" ref="W330">IFERROR(INDEX(DFD!$E$2:$E$1048791,MATCH($Q330,DFD!$B$2:$B$1048791,0)),"")</f>
        <v/>
      </c>
      <c r="X330" s="97" t="str">
        <f t="array" ref="X330">IFERROR(INDEX(DFD!$K$2:$K$1048791,MATCH($Q330,DFD!$B$2:$B$1048791,0)),"")</f>
        <v/>
      </c>
      <c r="Y330" s="97" t="str">
        <f t="array" ref="Y330">IFERROR(INDEX(DFD!$L$2:$L$1048790,MATCH($Q330,DFD!$B$2:$B$1048790,0)),"")</f>
        <v/>
      </c>
      <c r="Z330" s="97">
        <f t="shared" si="8"/>
        <v>45</v>
      </c>
      <c r="AA330" s="87"/>
      <c r="AB330" s="87" t="s">
        <v>72</v>
      </c>
      <c r="AC330" s="87"/>
      <c r="AD330" s="99">
        <v>46043.0</v>
      </c>
      <c r="AE330" s="119">
        <f t="shared" si="9"/>
        <v>1</v>
      </c>
    </row>
    <row r="331" ht="15.75" customHeight="1">
      <c r="A331" s="67"/>
      <c r="B331" s="67" t="s">
        <v>171</v>
      </c>
      <c r="C331" s="80" t="s">
        <v>1231</v>
      </c>
      <c r="D331" s="81" t="s">
        <v>51</v>
      </c>
      <c r="E331" s="81">
        <v>1.0</v>
      </c>
      <c r="F331" s="113">
        <v>1500.0</v>
      </c>
      <c r="G331" s="73" t="s">
        <v>53</v>
      </c>
      <c r="H331" s="83">
        <v>46174.0</v>
      </c>
      <c r="I331" s="67" t="s">
        <v>18</v>
      </c>
      <c r="J331" s="67" t="s">
        <v>54</v>
      </c>
      <c r="K331" s="67" t="s">
        <v>83</v>
      </c>
      <c r="L331" s="67" t="s">
        <v>197</v>
      </c>
      <c r="M331" s="67" t="s">
        <v>84</v>
      </c>
      <c r="N331" s="67" t="s">
        <v>20</v>
      </c>
      <c r="O331" s="59" t="s">
        <v>59</v>
      </c>
      <c r="P331" s="59"/>
      <c r="Q331" s="59"/>
      <c r="R331" s="67" t="s">
        <v>1122</v>
      </c>
      <c r="S331" s="59"/>
      <c r="T331" s="59"/>
      <c r="U331" s="77" t="str">
        <f t="array" ref="U331">IFERROR(INDEX(DFD!$D$2:$D$1048791,MATCH($Q331,DFD!$B$2:$B$1048791,0)),"")</f>
        <v/>
      </c>
      <c r="V331" s="77" t="str">
        <f t="array" ref="V331">IFERROR(INDEX(DFD!$F$2:$F$1048791,MATCH($Q331,DFD!$B$2:$B$1048791,0)),"")</f>
        <v/>
      </c>
      <c r="W331" s="84" t="str">
        <f t="array" ref="W331">IFERROR(INDEX(DFD!$E$2:$E$1048791,MATCH($Q331,DFD!$B$2:$B$1048791,0)),"")</f>
        <v/>
      </c>
      <c r="X331" s="84" t="str">
        <f t="array" ref="X331">IFERROR(INDEX(DFD!$K$2:$K$1048791,MATCH($Q331,DFD!$B$2:$B$1048791,0)),"")</f>
        <v/>
      </c>
      <c r="Y331" s="84" t="str">
        <f t="array" ref="Y331">IFERROR(INDEX(DFD!$L$2:$L$1048790,MATCH($Q331,DFD!$B$2:$B$1048790,0)),"")</f>
        <v/>
      </c>
      <c r="Z331" s="84">
        <f t="shared" si="8"/>
        <v>45</v>
      </c>
      <c r="AA331" s="59"/>
      <c r="AB331" s="59" t="s">
        <v>72</v>
      </c>
      <c r="AC331" s="59"/>
      <c r="AD331" s="85">
        <v>46043.0</v>
      </c>
      <c r="AE331" s="114">
        <f t="shared" si="9"/>
        <v>1</v>
      </c>
    </row>
    <row r="332" ht="15.75" customHeight="1">
      <c r="A332" s="92"/>
      <c r="B332" s="92" t="s">
        <v>107</v>
      </c>
      <c r="C332" s="80" t="s">
        <v>1231</v>
      </c>
      <c r="D332" s="116" t="s">
        <v>51</v>
      </c>
      <c r="E332" s="116">
        <v>1.0</v>
      </c>
      <c r="F332" s="117">
        <v>1500.0</v>
      </c>
      <c r="G332" s="90" t="s">
        <v>53</v>
      </c>
      <c r="H332" s="118">
        <v>46174.0</v>
      </c>
      <c r="I332" s="92" t="s">
        <v>18</v>
      </c>
      <c r="J332" s="92" t="s">
        <v>54</v>
      </c>
      <c r="K332" s="92" t="s">
        <v>83</v>
      </c>
      <c r="L332" s="92" t="s">
        <v>197</v>
      </c>
      <c r="M332" s="92" t="s">
        <v>84</v>
      </c>
      <c r="N332" s="92" t="s">
        <v>20</v>
      </c>
      <c r="O332" s="87" t="s">
        <v>59</v>
      </c>
      <c r="P332" s="87"/>
      <c r="Q332" s="87"/>
      <c r="R332" s="92" t="s">
        <v>1122</v>
      </c>
      <c r="S332" s="87"/>
      <c r="T332" s="87"/>
      <c r="U332" s="94" t="str">
        <f t="array" ref="U332">IFERROR(INDEX(DFD!$D$2:$D$1048791,MATCH($Q332,DFD!$B$2:$B$1048791,0)),"")</f>
        <v/>
      </c>
      <c r="V332" s="94" t="str">
        <f t="array" ref="V332">IFERROR(INDEX(DFD!$F$2:$F$1048791,MATCH($Q332,DFD!$B$2:$B$1048791,0)),"")</f>
        <v/>
      </c>
      <c r="W332" s="97" t="str">
        <f t="array" ref="W332">IFERROR(INDEX(DFD!$E$2:$E$1048791,MATCH($Q332,DFD!$B$2:$B$1048791,0)),"")</f>
        <v/>
      </c>
      <c r="X332" s="97" t="str">
        <f t="array" ref="X332">IFERROR(INDEX(DFD!$K$2:$K$1048791,MATCH($Q332,DFD!$B$2:$B$1048791,0)),"")</f>
        <v/>
      </c>
      <c r="Y332" s="97" t="str">
        <f t="array" ref="Y332">IFERROR(INDEX(DFD!$L$2:$L$1048790,MATCH($Q332,DFD!$B$2:$B$1048790,0)),"")</f>
        <v/>
      </c>
      <c r="Z332" s="97">
        <f t="shared" si="8"/>
        <v>45</v>
      </c>
      <c r="AA332" s="87"/>
      <c r="AB332" s="87" t="s">
        <v>72</v>
      </c>
      <c r="AC332" s="87"/>
      <c r="AD332" s="99">
        <v>46043.0</v>
      </c>
      <c r="AE332" s="119">
        <f t="shared" si="9"/>
        <v>1</v>
      </c>
    </row>
    <row r="333" ht="15.75" customHeight="1">
      <c r="A333" s="67"/>
      <c r="B333" s="67" t="s">
        <v>101</v>
      </c>
      <c r="C333" s="81" t="s">
        <v>1243</v>
      </c>
      <c r="D333" s="81" t="s">
        <v>984</v>
      </c>
      <c r="E333" s="81">
        <v>60.0</v>
      </c>
      <c r="F333" s="82">
        <v>1200000.0</v>
      </c>
      <c r="G333" s="73" t="s">
        <v>53</v>
      </c>
      <c r="H333" s="83">
        <v>46266.0</v>
      </c>
      <c r="I333" s="67" t="s">
        <v>18</v>
      </c>
      <c r="J333" s="67" t="s">
        <v>54</v>
      </c>
      <c r="K333" s="67" t="s">
        <v>83</v>
      </c>
      <c r="L333" s="67" t="s">
        <v>197</v>
      </c>
      <c r="M333" s="67" t="s">
        <v>84</v>
      </c>
      <c r="N333" s="67" t="s">
        <v>20</v>
      </c>
      <c r="O333" s="59" t="s">
        <v>59</v>
      </c>
      <c r="P333" s="59"/>
      <c r="Q333" s="59"/>
      <c r="R333" s="67" t="s">
        <v>442</v>
      </c>
      <c r="S333" s="59"/>
      <c r="T333" s="59"/>
      <c r="U333" s="77" t="str">
        <f t="array" ref="U333">IFERROR(INDEX(DFD!$D$2:$D$1048791,MATCH($Q333,DFD!$B$2:$B$1048791,0)),"")</f>
        <v/>
      </c>
      <c r="V333" s="77" t="str">
        <f t="array" ref="V333">IFERROR(INDEX(DFD!$F$2:$F$1048791,MATCH($Q333,DFD!$B$2:$B$1048791,0)),"")</f>
        <v/>
      </c>
      <c r="W333" s="84" t="str">
        <f t="array" ref="W333">IFERROR(INDEX(DFD!$E$2:$E$1048791,MATCH($Q333,DFD!$B$2:$B$1048791,0)),"")</f>
        <v/>
      </c>
      <c r="X333" s="84" t="str">
        <f t="array" ref="X333">IFERROR(INDEX(DFD!$K$2:$K$1048791,MATCH($Q333,DFD!$B$2:$B$1048791,0)),"")</f>
        <v/>
      </c>
      <c r="Y333" s="84" t="str">
        <f t="array" ref="Y333">IFERROR(INDEX(DFD!$L$2:$L$1048790,MATCH($Q333,DFD!$B$2:$B$1048790,0)),"")</f>
        <v/>
      </c>
      <c r="Z333" s="84">
        <f t="shared" si="8"/>
        <v>45</v>
      </c>
      <c r="AA333" s="59"/>
      <c r="AB333" s="59" t="s">
        <v>72</v>
      </c>
      <c r="AC333" s="59"/>
      <c r="AD333" s="85">
        <v>46043.0</v>
      </c>
      <c r="AE333" s="114">
        <f t="shared" si="9"/>
        <v>1</v>
      </c>
    </row>
    <row r="334" ht="15.75" customHeight="1">
      <c r="A334" s="87"/>
      <c r="B334" s="87" t="s">
        <v>1249</v>
      </c>
      <c r="C334" s="88" t="s">
        <v>1250</v>
      </c>
      <c r="D334" s="88" t="s">
        <v>51</v>
      </c>
      <c r="E334" s="88">
        <v>100.0</v>
      </c>
      <c r="F334" s="62">
        <v>500000.0</v>
      </c>
      <c r="G334" s="90" t="s">
        <v>53</v>
      </c>
      <c r="H334" s="91">
        <v>46266.0</v>
      </c>
      <c r="I334" s="92" t="s">
        <v>18</v>
      </c>
      <c r="J334" s="92" t="s">
        <v>54</v>
      </c>
      <c r="K334" s="92" t="s">
        <v>83</v>
      </c>
      <c r="L334" s="92" t="s">
        <v>56</v>
      </c>
      <c r="M334" s="92" t="s">
        <v>132</v>
      </c>
      <c r="N334" s="87" t="s">
        <v>20</v>
      </c>
      <c r="O334" s="92" t="s">
        <v>59</v>
      </c>
      <c r="P334" s="87"/>
      <c r="Q334" s="87"/>
      <c r="R334" s="92" t="s">
        <v>442</v>
      </c>
      <c r="S334" s="87"/>
      <c r="T334" s="87"/>
      <c r="U334" s="94" t="str">
        <f t="array" ref="U334">IFERROR(INDEX(DFD!$D$2:$D$1048791,MATCH($Q334,DFD!$B$2:$B$1048791,0)),"")</f>
        <v/>
      </c>
      <c r="V334" s="94" t="str">
        <f t="array" ref="V334">IFERROR(INDEX(DFD!$F$2:$F$1048791,MATCH($Q334,DFD!$B$2:$B$1048791,0)),"")</f>
        <v/>
      </c>
      <c r="W334" s="97" t="str">
        <f t="array" ref="W334">IFERROR(INDEX(DFD!$E$2:$E$1048791,MATCH($Q334,DFD!$B$2:$B$1048791,0)),"")</f>
        <v/>
      </c>
      <c r="X334" s="97" t="str">
        <f t="array" ref="X334">IFERROR(INDEX(DFD!$K$2:$K$1048791,MATCH($Q334,DFD!$B$2:$B$1048791,0)),"")</f>
        <v/>
      </c>
      <c r="Y334" s="97" t="str">
        <f t="array" ref="Y334">IFERROR(INDEX(DFD!$L$2:$L$1048790,MATCH($Q334,DFD!$B$2:$B$1048790,0)),"")</f>
        <v/>
      </c>
      <c r="Z334" s="97">
        <f t="shared" si="8"/>
        <v>45</v>
      </c>
      <c r="AA334" s="87"/>
      <c r="AB334" s="87" t="s">
        <v>72</v>
      </c>
      <c r="AC334" s="87"/>
      <c r="AD334" s="99">
        <v>46043.0</v>
      </c>
      <c r="AE334" s="119">
        <f t="shared" si="9"/>
        <v>1</v>
      </c>
    </row>
    <row r="335" ht="15.75" customHeight="1">
      <c r="A335" s="67"/>
      <c r="B335" s="67" t="s">
        <v>101</v>
      </c>
      <c r="C335" s="81" t="s">
        <v>1257</v>
      </c>
      <c r="D335" s="81" t="s">
        <v>51</v>
      </c>
      <c r="E335" s="81">
        <v>1.0</v>
      </c>
      <c r="F335" s="113">
        <v>300000.0</v>
      </c>
      <c r="G335" s="73" t="s">
        <v>53</v>
      </c>
      <c r="H335" s="83">
        <v>46266.0</v>
      </c>
      <c r="I335" s="67" t="s">
        <v>18</v>
      </c>
      <c r="J335" s="67" t="s">
        <v>54</v>
      </c>
      <c r="K335" s="67" t="s">
        <v>83</v>
      </c>
      <c r="L335" s="67" t="s">
        <v>56</v>
      </c>
      <c r="M335" s="67" t="s">
        <v>84</v>
      </c>
      <c r="N335" s="67" t="s">
        <v>20</v>
      </c>
      <c r="O335" s="59" t="s">
        <v>59</v>
      </c>
      <c r="P335" s="59"/>
      <c r="Q335" s="59"/>
      <c r="R335" s="67" t="s">
        <v>442</v>
      </c>
      <c r="S335" s="59"/>
      <c r="T335" s="59"/>
      <c r="U335" s="165"/>
      <c r="V335" s="77" t="str">
        <f t="array" ref="V335">IFERROR(INDEX(DFD!$F$2:$F$1048791,MATCH($Q335,DFD!$B$2:$B$1048791,0)),"")</f>
        <v/>
      </c>
      <c r="W335" s="84" t="str">
        <f t="array" ref="W335">IFERROR(INDEX(DFD!$E$2:$E$1048791,MATCH($Q335,DFD!$B$2:$B$1048791,0)),"")</f>
        <v/>
      </c>
      <c r="X335" s="84" t="str">
        <f t="array" ref="X335">IFERROR(INDEX(DFD!$K$2:$K$1048791,MATCH($Q335,DFD!$B$2:$B$1048791,0)),"")</f>
        <v/>
      </c>
      <c r="Y335" s="84" t="str">
        <f t="array" ref="Y335">IFERROR(INDEX(DFD!$L$2:$L$1048790,MATCH($Q335,DFD!$B$2:$B$1048790,0)),"")</f>
        <v/>
      </c>
      <c r="Z335" s="84">
        <f t="shared" si="8"/>
        <v>45</v>
      </c>
      <c r="AA335" s="59"/>
      <c r="AB335" s="59" t="s">
        <v>72</v>
      </c>
      <c r="AC335" s="59"/>
      <c r="AD335" s="85">
        <v>46043.0</v>
      </c>
      <c r="AE335" s="114">
        <f t="shared" si="9"/>
        <v>1</v>
      </c>
    </row>
    <row r="336" ht="15.75" customHeight="1">
      <c r="A336" s="87"/>
      <c r="B336" s="87" t="s">
        <v>101</v>
      </c>
      <c r="C336" s="88" t="s">
        <v>1260</v>
      </c>
      <c r="D336" s="88" t="s">
        <v>51</v>
      </c>
      <c r="E336" s="88">
        <v>5.0</v>
      </c>
      <c r="F336" s="139">
        <v>150000.0</v>
      </c>
      <c r="G336" s="90" t="s">
        <v>53</v>
      </c>
      <c r="H336" s="91">
        <v>46266.0</v>
      </c>
      <c r="I336" s="92" t="s">
        <v>18</v>
      </c>
      <c r="J336" s="92" t="s">
        <v>54</v>
      </c>
      <c r="K336" s="92" t="s">
        <v>66</v>
      </c>
      <c r="L336" s="92" t="s">
        <v>56</v>
      </c>
      <c r="M336" s="92" t="s">
        <v>500</v>
      </c>
      <c r="N336" s="87" t="s">
        <v>20</v>
      </c>
      <c r="O336" s="87" t="s">
        <v>59</v>
      </c>
      <c r="P336" s="87"/>
      <c r="Q336" s="87"/>
      <c r="R336" s="92" t="s">
        <v>561</v>
      </c>
      <c r="S336" s="87"/>
      <c r="T336" s="87"/>
      <c r="U336" s="122" t="str">
        <f t="array" ref="U336">IFERROR(INDEX(DFD!$D$2:$D$1048791,MATCH($Q336,DFD!$B$2:$B$1048791,0)),"")</f>
        <v/>
      </c>
      <c r="V336" s="94" t="str">
        <f t="array" ref="V336">IFERROR(INDEX(DFD!$F$2:$F$1048791,MATCH($Q336,DFD!$B$2:$B$1048791,0)),"")</f>
        <v/>
      </c>
      <c r="W336" s="97" t="str">
        <f t="array" ref="W336">IFERROR(INDEX(DFD!$E$2:$E$1048791,MATCH($Q336,DFD!$B$2:$B$1048791,0)),"")</f>
        <v/>
      </c>
      <c r="X336" s="97" t="str">
        <f t="array" ref="X336">IFERROR(INDEX(DFD!$K$2:$K$1048791,MATCH($Q336,DFD!$B$2:$B$1048791,0)),"")</f>
        <v/>
      </c>
      <c r="Y336" s="97" t="str">
        <f t="array" ref="Y336">IFERROR(INDEX(DFD!$L$2:$L$1048790,MATCH($Q336,DFD!$B$2:$B$1048790,0)),"")</f>
        <v/>
      </c>
      <c r="Z336" s="97">
        <f t="shared" si="8"/>
        <v>45</v>
      </c>
      <c r="AA336" s="87"/>
      <c r="AB336" s="87" t="s">
        <v>72</v>
      </c>
      <c r="AC336" s="87"/>
      <c r="AD336" s="99">
        <v>46043.0</v>
      </c>
      <c r="AE336" s="119">
        <f t="shared" si="9"/>
        <v>1</v>
      </c>
    </row>
    <row r="337" ht="15.75" customHeight="1">
      <c r="A337" s="67"/>
      <c r="B337" s="104" t="s">
        <v>49</v>
      </c>
      <c r="C337" s="81" t="s">
        <v>1263</v>
      </c>
      <c r="D337" s="81" t="s">
        <v>51</v>
      </c>
      <c r="E337" s="81">
        <v>10.0</v>
      </c>
      <c r="F337" s="113">
        <v>80000.0</v>
      </c>
      <c r="G337" s="73" t="s">
        <v>53</v>
      </c>
      <c r="H337" s="83">
        <v>46266.0</v>
      </c>
      <c r="I337" s="67" t="s">
        <v>18</v>
      </c>
      <c r="J337" s="67" t="s">
        <v>54</v>
      </c>
      <c r="K337" s="67" t="s">
        <v>83</v>
      </c>
      <c r="L337" s="67" t="s">
        <v>56</v>
      </c>
      <c r="M337" s="67" t="s">
        <v>84</v>
      </c>
      <c r="N337" s="67" t="s">
        <v>20</v>
      </c>
      <c r="O337" s="59" t="s">
        <v>59</v>
      </c>
      <c r="P337" s="59"/>
      <c r="Q337" s="59"/>
      <c r="R337" s="67" t="s">
        <v>1264</v>
      </c>
      <c r="S337" s="59"/>
      <c r="T337" s="59"/>
      <c r="U337" s="165" t="str">
        <f t="array" ref="U337">IFERROR(INDEX(DFD!$D$2:$D$1048791,MATCH($Q337,DFD!$B$2:$B$1048791,0)),"")</f>
        <v/>
      </c>
      <c r="V337" s="77" t="str">
        <f t="array" ref="V337">IFERROR(INDEX(DFD!$F$2:$F$1048791,MATCH($Q337,DFD!$B$2:$B$1048791,0)),"")</f>
        <v/>
      </c>
      <c r="W337" s="84" t="str">
        <f t="array" ref="W337">IFERROR(INDEX(DFD!$E$2:$E$1048791,MATCH($Q337,DFD!$B$2:$B$1048791,0)),"")</f>
        <v/>
      </c>
      <c r="X337" s="84" t="str">
        <f t="array" ref="X337">IFERROR(INDEX(DFD!$K$2:$K$1048791,MATCH($Q337,DFD!$B$2:$B$1048791,0)),"")</f>
        <v/>
      </c>
      <c r="Y337" s="84" t="str">
        <f t="array" ref="Y337">IFERROR(INDEX(DFD!$L$2:$L$1048790,MATCH($Q337,DFD!$B$2:$B$1048790,0)),"")</f>
        <v/>
      </c>
      <c r="Z337" s="84">
        <f t="shared" si="8"/>
        <v>45</v>
      </c>
      <c r="AA337" s="59"/>
      <c r="AB337" s="59" t="s">
        <v>72</v>
      </c>
      <c r="AC337" s="59"/>
      <c r="AD337" s="85">
        <v>46043.0</v>
      </c>
      <c r="AE337" s="114">
        <f t="shared" si="9"/>
        <v>1</v>
      </c>
    </row>
    <row r="338" ht="15.75" customHeight="1">
      <c r="A338" s="92"/>
      <c r="B338" s="92" t="s">
        <v>80</v>
      </c>
      <c r="C338" s="116" t="s">
        <v>1267</v>
      </c>
      <c r="D338" s="116" t="s">
        <v>51</v>
      </c>
      <c r="E338" s="116">
        <v>4.0</v>
      </c>
      <c r="F338" s="117">
        <v>14000.0</v>
      </c>
      <c r="G338" s="90" t="s">
        <v>53</v>
      </c>
      <c r="H338" s="118">
        <v>46235.0</v>
      </c>
      <c r="I338" s="92" t="s">
        <v>18</v>
      </c>
      <c r="J338" s="92" t="s">
        <v>54</v>
      </c>
      <c r="K338" s="92" t="s">
        <v>83</v>
      </c>
      <c r="L338" s="92" t="s">
        <v>56</v>
      </c>
      <c r="M338" s="92" t="s">
        <v>84</v>
      </c>
      <c r="N338" s="92" t="s">
        <v>20</v>
      </c>
      <c r="O338" s="87" t="s">
        <v>59</v>
      </c>
      <c r="P338" s="87"/>
      <c r="Q338" s="87"/>
      <c r="R338" s="92" t="s">
        <v>1264</v>
      </c>
      <c r="S338" s="87"/>
      <c r="T338" s="87"/>
      <c r="U338" s="122" t="str">
        <f t="array" ref="U338">IFERROR(INDEX(DFD!$D$2:$D$1048791,MATCH($Q338,DFD!$B$2:$B$1048791,0)),"")</f>
        <v/>
      </c>
      <c r="V338" s="94" t="str">
        <f t="array" ref="V338">IFERROR(INDEX(DFD!$F$2:$F$1048791,MATCH($Q338,DFD!$B$2:$B$1048791,0)),"")</f>
        <v/>
      </c>
      <c r="W338" s="97" t="str">
        <f t="array" ref="W338">IFERROR(INDEX(DFD!$E$2:$E$1048791,MATCH($Q338,DFD!$B$2:$B$1048791,0)),"")</f>
        <v/>
      </c>
      <c r="X338" s="97" t="str">
        <f t="array" ref="X338">IFERROR(INDEX(DFD!$K$2:$K$1048791,MATCH($Q338,DFD!$B$2:$B$1048791,0)),"")</f>
        <v/>
      </c>
      <c r="Y338" s="97" t="str">
        <f t="array" ref="Y338">IFERROR(INDEX(DFD!$L$2:$L$1048790,MATCH($Q338,DFD!$B$2:$B$1048790,0)),"")</f>
        <v/>
      </c>
      <c r="Z338" s="97">
        <f t="shared" si="8"/>
        <v>45</v>
      </c>
      <c r="AA338" s="87"/>
      <c r="AB338" s="87" t="s">
        <v>72</v>
      </c>
      <c r="AC338" s="87"/>
      <c r="AD338" s="99">
        <v>46043.0</v>
      </c>
      <c r="AE338" s="119">
        <f t="shared" si="9"/>
        <v>1</v>
      </c>
    </row>
    <row r="339" ht="15.75" customHeight="1">
      <c r="A339" s="67"/>
      <c r="B339" s="67" t="s">
        <v>172</v>
      </c>
      <c r="C339" s="81" t="s">
        <v>1267</v>
      </c>
      <c r="D339" s="81" t="s">
        <v>51</v>
      </c>
      <c r="E339" s="81">
        <v>1.0</v>
      </c>
      <c r="F339" s="113">
        <v>3500.0</v>
      </c>
      <c r="G339" s="73" t="s">
        <v>53</v>
      </c>
      <c r="H339" s="83">
        <v>46174.0</v>
      </c>
      <c r="I339" s="67" t="s">
        <v>18</v>
      </c>
      <c r="J339" s="67" t="s">
        <v>54</v>
      </c>
      <c r="K339" s="67" t="s">
        <v>83</v>
      </c>
      <c r="L339" s="67" t="s">
        <v>56</v>
      </c>
      <c r="M339" s="67" t="s">
        <v>84</v>
      </c>
      <c r="N339" s="67" t="s">
        <v>20</v>
      </c>
      <c r="O339" s="59" t="s">
        <v>59</v>
      </c>
      <c r="P339" s="59"/>
      <c r="Q339" s="59"/>
      <c r="R339" s="67" t="s">
        <v>1264</v>
      </c>
      <c r="S339" s="59"/>
      <c r="T339" s="59"/>
      <c r="U339" s="77" t="str">
        <f t="array" ref="U339">IFERROR(INDEX(DFD!$D$2:$D$1048791,MATCH($Q339,DFD!$B$2:$B$1048791,0)),"")</f>
        <v/>
      </c>
      <c r="V339" s="77" t="str">
        <f t="array" ref="V339">IFERROR(INDEX(DFD!$F$2:$F$1048791,MATCH($Q339,DFD!$B$2:$B$1048791,0)),"")</f>
        <v/>
      </c>
      <c r="W339" s="84" t="str">
        <f t="array" ref="W339">IFERROR(INDEX(DFD!$E$2:$E$1048791,MATCH($Q339,DFD!$B$2:$B$1048791,0)),"")</f>
        <v/>
      </c>
      <c r="X339" s="84" t="str">
        <f t="array" ref="X339">IFERROR(INDEX(DFD!$K$2:$K$1048791,MATCH($Q339,DFD!$B$2:$B$1048791,0)),"")</f>
        <v/>
      </c>
      <c r="Y339" s="84" t="str">
        <f t="array" ref="Y339">IFERROR(INDEX(DFD!$L$2:$L$1048790,MATCH($Q339,DFD!$B$2:$B$1048790,0)),"")</f>
        <v/>
      </c>
      <c r="Z339" s="84">
        <f t="shared" si="8"/>
        <v>45</v>
      </c>
      <c r="AA339" s="59"/>
      <c r="AB339" s="59" t="s">
        <v>72</v>
      </c>
      <c r="AC339" s="59"/>
      <c r="AD339" s="85">
        <v>46043.0</v>
      </c>
      <c r="AE339" s="114">
        <f t="shared" si="9"/>
        <v>1</v>
      </c>
    </row>
    <row r="340" ht="15.75" customHeight="1">
      <c r="A340" s="104"/>
      <c r="B340" s="104" t="s">
        <v>101</v>
      </c>
      <c r="C340" s="167" t="s">
        <v>1277</v>
      </c>
      <c r="D340" s="167" t="s">
        <v>51</v>
      </c>
      <c r="E340" s="167">
        <v>1.0</v>
      </c>
      <c r="F340" s="168">
        <v>1306870.0</v>
      </c>
      <c r="G340" s="169" t="s">
        <v>53</v>
      </c>
      <c r="H340" s="170">
        <v>46266.0</v>
      </c>
      <c r="I340" s="104" t="s">
        <v>18</v>
      </c>
      <c r="J340" s="104" t="s">
        <v>54</v>
      </c>
      <c r="K340" s="104" t="s">
        <v>83</v>
      </c>
      <c r="L340" s="104" t="s">
        <v>197</v>
      </c>
      <c r="M340" s="104" t="s">
        <v>84</v>
      </c>
      <c r="N340" s="71" t="s">
        <v>20</v>
      </c>
      <c r="O340" s="71" t="s">
        <v>59</v>
      </c>
      <c r="P340" s="71"/>
      <c r="Q340" s="71"/>
      <c r="R340" s="92" t="s">
        <v>531</v>
      </c>
      <c r="S340" s="87"/>
      <c r="T340" s="87"/>
      <c r="U340" s="94" t="str">
        <f t="array" ref="U340">IFERROR(INDEX(DFD!$D$2:$D$1048791,MATCH($Q340,DFD!$B$2:$B$1048791,0)),"")</f>
        <v/>
      </c>
      <c r="V340" s="94" t="str">
        <f t="array" ref="V340">IFERROR(INDEX(DFD!$F$2:$F$1048791,MATCH($Q340,DFD!$B$2:$B$1048791,0)),"")</f>
        <v/>
      </c>
      <c r="W340" s="97" t="str">
        <f t="array" ref="W340">IFERROR(INDEX(DFD!$E$2:$E$1048791,MATCH($Q340,DFD!$B$2:$B$1048791,0)),"")</f>
        <v/>
      </c>
      <c r="X340" s="97" t="str">
        <f t="array" ref="X340">IFERROR(INDEX(DFD!$K$2:$K$1048791,MATCH($Q340,DFD!$B$2:$B$1048791,0)),"")</f>
        <v/>
      </c>
      <c r="Y340" s="97" t="str">
        <f t="array" ref="Y340">IFERROR(INDEX(DFD!$L$2:$L$1048790,MATCH($Q340,DFD!$B$2:$B$1048790,0)),"")</f>
        <v/>
      </c>
      <c r="Z340" s="97">
        <f t="shared" si="8"/>
        <v>45</v>
      </c>
      <c r="AA340" s="87"/>
      <c r="AB340" s="87" t="s">
        <v>72</v>
      </c>
      <c r="AC340" s="87"/>
      <c r="AD340" s="99">
        <v>46043.0</v>
      </c>
      <c r="AE340" s="119">
        <f t="shared" si="9"/>
        <v>1</v>
      </c>
    </row>
    <row r="341" ht="15.75" customHeight="1">
      <c r="A341" s="140"/>
      <c r="B341" s="140" t="s">
        <v>400</v>
      </c>
      <c r="C341" s="141" t="s">
        <v>1282</v>
      </c>
      <c r="D341" s="141" t="s">
        <v>51</v>
      </c>
      <c r="E341" s="141">
        <v>5.0</v>
      </c>
      <c r="F341" s="142">
        <v>250000.0</v>
      </c>
      <c r="G341" s="143" t="s">
        <v>53</v>
      </c>
      <c r="H341" s="144">
        <v>46266.0</v>
      </c>
      <c r="I341" s="140" t="s">
        <v>18</v>
      </c>
      <c r="J341" s="140" t="s">
        <v>54</v>
      </c>
      <c r="K341" s="140" t="s">
        <v>83</v>
      </c>
      <c r="L341" s="140" t="s">
        <v>56</v>
      </c>
      <c r="M341" s="140" t="s">
        <v>84</v>
      </c>
      <c r="N341" s="140" t="s">
        <v>20</v>
      </c>
      <c r="O341" s="145" t="s">
        <v>59</v>
      </c>
      <c r="P341" s="145"/>
      <c r="Q341" s="145"/>
      <c r="R341" s="67" t="s">
        <v>435</v>
      </c>
      <c r="S341" s="59"/>
      <c r="T341" s="59"/>
      <c r="U341" s="77" t="str">
        <f t="array" ref="U341">IFERROR(INDEX(DFD!$D$2:$D$1048791,MATCH($Q341,DFD!$B$2:$B$1048791,0)),"")</f>
        <v/>
      </c>
      <c r="V341" s="77" t="str">
        <f t="array" ref="V341">IFERROR(INDEX(DFD!$F$2:$F$1048791,MATCH($Q341,DFD!$B$2:$B$1048791,0)),"")</f>
        <v/>
      </c>
      <c r="W341" s="84" t="str">
        <f t="array" ref="W341">IFERROR(INDEX(DFD!$E$2:$E$1048791,MATCH($Q341,DFD!$B$2:$B$1048791,0)),"")</f>
        <v/>
      </c>
      <c r="X341" s="84" t="str">
        <f t="array" ref="X341">IFERROR(INDEX(DFD!$K$2:$K$1048791,MATCH($Q341,DFD!$B$2:$B$1048791,0)),"")</f>
        <v/>
      </c>
      <c r="Y341" s="84" t="str">
        <f t="array" ref="Y341">IFERROR(INDEX(DFD!$L$2:$L$1048790,MATCH($Q341,DFD!$B$2:$B$1048790,0)),"")</f>
        <v/>
      </c>
      <c r="Z341" s="84">
        <f t="shared" si="8"/>
        <v>45</v>
      </c>
      <c r="AA341" s="59"/>
      <c r="AB341" s="59" t="s">
        <v>72</v>
      </c>
      <c r="AC341" s="59"/>
      <c r="AD341" s="85">
        <v>46043.0</v>
      </c>
      <c r="AE341" s="114">
        <f t="shared" si="9"/>
        <v>1</v>
      </c>
    </row>
    <row r="342" ht="15.75" customHeight="1">
      <c r="A342" s="140"/>
      <c r="B342" s="140" t="s">
        <v>400</v>
      </c>
      <c r="C342" s="141" t="s">
        <v>1286</v>
      </c>
      <c r="D342" s="141" t="s">
        <v>51</v>
      </c>
      <c r="E342" s="141">
        <v>10.0</v>
      </c>
      <c r="F342" s="142">
        <v>550000.0</v>
      </c>
      <c r="G342" s="143" t="s">
        <v>53</v>
      </c>
      <c r="H342" s="144">
        <v>46266.0</v>
      </c>
      <c r="I342" s="140" t="s">
        <v>18</v>
      </c>
      <c r="J342" s="140" t="s">
        <v>54</v>
      </c>
      <c r="K342" s="140" t="s">
        <v>83</v>
      </c>
      <c r="L342" s="140" t="s">
        <v>197</v>
      </c>
      <c r="M342" s="140" t="s">
        <v>84</v>
      </c>
      <c r="N342" s="140" t="s">
        <v>20</v>
      </c>
      <c r="O342" s="145" t="s">
        <v>59</v>
      </c>
      <c r="P342" s="145"/>
      <c r="Q342" s="145"/>
      <c r="R342" s="92" t="s">
        <v>435</v>
      </c>
      <c r="S342" s="87"/>
      <c r="T342" s="87"/>
      <c r="U342" s="94" t="str">
        <f t="array" ref="U342">IFERROR(INDEX(DFD!$D$2:$D$1048791,MATCH($Q342,DFD!$B$2:$B$1048791,0)),"")</f>
        <v/>
      </c>
      <c r="V342" s="94" t="str">
        <f t="array" ref="V342">IFERROR(INDEX(DFD!$F$2:$F$1048791,MATCH($Q342,DFD!$B$2:$B$1048791,0)),"")</f>
        <v/>
      </c>
      <c r="W342" s="97" t="str">
        <f t="array" ref="W342">IFERROR(INDEX(DFD!$E$2:$E$1048791,MATCH($Q342,DFD!$B$2:$B$1048791,0)),"")</f>
        <v/>
      </c>
      <c r="X342" s="97" t="str">
        <f t="array" ref="X342">IFERROR(INDEX(DFD!$K$2:$K$1048791,MATCH($Q342,DFD!$B$2:$B$1048791,0)),"")</f>
        <v/>
      </c>
      <c r="Y342" s="97" t="str">
        <f t="array" ref="Y342">IFERROR(INDEX(DFD!$L$2:$L$1048790,MATCH($Q342,DFD!$B$2:$B$1048790,0)),"")</f>
        <v/>
      </c>
      <c r="Z342" s="97">
        <f t="shared" si="8"/>
        <v>45</v>
      </c>
      <c r="AA342" s="87"/>
      <c r="AB342" s="87" t="s">
        <v>72</v>
      </c>
      <c r="AC342" s="87"/>
      <c r="AD342" s="99">
        <v>46043.0</v>
      </c>
      <c r="AE342" s="119">
        <f t="shared" si="9"/>
        <v>1</v>
      </c>
    </row>
    <row r="343" ht="15.75" customHeight="1">
      <c r="A343" s="59"/>
      <c r="B343" s="59" t="s">
        <v>400</v>
      </c>
      <c r="C343" s="60" t="s">
        <v>1289</v>
      </c>
      <c r="D343" s="61" t="s">
        <v>51</v>
      </c>
      <c r="E343" s="61">
        <v>12.0</v>
      </c>
      <c r="F343" s="113">
        <v>447000.0</v>
      </c>
      <c r="G343" s="64" t="s">
        <v>53</v>
      </c>
      <c r="H343" s="65">
        <v>46266.0</v>
      </c>
      <c r="I343" s="66" t="s">
        <v>17</v>
      </c>
      <c r="J343" s="66" t="s">
        <v>54</v>
      </c>
      <c r="K343" s="66" t="s">
        <v>161</v>
      </c>
      <c r="L343" s="66" t="s">
        <v>197</v>
      </c>
      <c r="M343" s="66" t="s">
        <v>838</v>
      </c>
      <c r="N343" s="59" t="s">
        <v>20</v>
      </c>
      <c r="O343" s="59" t="s">
        <v>59</v>
      </c>
      <c r="P343" s="59"/>
      <c r="Q343" s="59"/>
      <c r="R343" s="67" t="s">
        <v>506</v>
      </c>
      <c r="S343" s="68"/>
      <c r="T343" s="68"/>
      <c r="U343" s="70" t="str">
        <f t="array" ref="U343">IFERROR(INDEX(DFD!$D$2:$D$1048791,MATCH($Q343,DFD!$B$2:$B$1048791,0)),"")</f>
        <v/>
      </c>
      <c r="V343" s="70" t="str">
        <f t="array" ref="V343">IFERROR(INDEX(DFD!$F$2:$F$1048791,MATCH($Q343,DFD!$B$2:$B$1048791,0)),"")</f>
        <v/>
      </c>
      <c r="W343" s="75" t="str">
        <f t="array" ref="W343">IFERROR(INDEX(DFD!$E$2:$E$1048791,MATCH($Q343,DFD!$B$2:$B$1048791,0)),"")</f>
        <v/>
      </c>
      <c r="X343" s="75" t="str">
        <f t="array" ref="X343">IFERROR(INDEX(DFD!$K$2:$K$1048791,MATCH($Q343,DFD!$B$2:$B$1048791,0)),"")</f>
        <v/>
      </c>
      <c r="Y343" s="75" t="str">
        <f t="array" ref="Y343">IFERROR(INDEX(DFD!$L$2:$L$1048790,MATCH($Q343,DFD!$B$2:$B$1048790,0)),"")</f>
        <v/>
      </c>
      <c r="Z343" s="75">
        <f t="shared" si="8"/>
        <v>45</v>
      </c>
      <c r="AA343" s="68"/>
      <c r="AB343" s="68" t="s">
        <v>72</v>
      </c>
      <c r="AC343" s="68"/>
      <c r="AD343" s="78">
        <v>46043.0</v>
      </c>
      <c r="AE343" s="79">
        <f t="shared" si="9"/>
        <v>1</v>
      </c>
    </row>
    <row r="344" ht="15.75" customHeight="1">
      <c r="A344" s="145"/>
      <c r="B344" s="145" t="s">
        <v>400</v>
      </c>
      <c r="C344" s="171" t="s">
        <v>1294</v>
      </c>
      <c r="D344" s="171" t="s">
        <v>1295</v>
      </c>
      <c r="E344" s="171">
        <v>5000.0</v>
      </c>
      <c r="F344" s="172">
        <v>400000.0</v>
      </c>
      <c r="G344" s="143" t="s">
        <v>437</v>
      </c>
      <c r="H344" s="173">
        <v>46266.0</v>
      </c>
      <c r="I344" s="140" t="s">
        <v>17</v>
      </c>
      <c r="J344" s="140" t="s">
        <v>54</v>
      </c>
      <c r="K344" s="140" t="s">
        <v>161</v>
      </c>
      <c r="L344" s="140" t="s">
        <v>67</v>
      </c>
      <c r="M344" s="140" t="s">
        <v>57</v>
      </c>
      <c r="N344" s="145" t="s">
        <v>20</v>
      </c>
      <c r="O344" s="145" t="s">
        <v>59</v>
      </c>
      <c r="P344" s="145"/>
      <c r="Q344" s="145"/>
      <c r="R344" s="92" t="s">
        <v>506</v>
      </c>
      <c r="S344" s="87"/>
      <c r="T344" s="87"/>
      <c r="U344" s="94" t="str">
        <f t="array" ref="U344">IFERROR(INDEX(DFD!$D$2:$D$1048791,MATCH($Q344,DFD!$B$2:$B$1048791,0)),"")</f>
        <v/>
      </c>
      <c r="V344" s="94" t="str">
        <f t="array" ref="V344">IFERROR(INDEX(DFD!$F$2:$F$1048791,MATCH($Q344,DFD!$B$2:$B$1048791,0)),"")</f>
        <v/>
      </c>
      <c r="W344" s="97" t="str">
        <f t="array" ref="W344">IFERROR(INDEX(DFD!$E$2:$E$1048791,MATCH($Q344,DFD!$B$2:$B$1048791,0)),"")</f>
        <v/>
      </c>
      <c r="X344" s="97" t="str">
        <f t="array" ref="X344">IFERROR(INDEX(DFD!$K$2:$K$1048791,MATCH($Q344,DFD!$B$2:$B$1048791,0)),"")</f>
        <v/>
      </c>
      <c r="Y344" s="97" t="str">
        <f t="array" ref="Y344">IFERROR(INDEX(DFD!$L$2:$L$1048790,MATCH($Q344,DFD!$B$2:$B$1048790,0)),"")</f>
        <v/>
      </c>
      <c r="Z344" s="97">
        <f t="shared" si="8"/>
        <v>45</v>
      </c>
      <c r="AA344" s="87"/>
      <c r="AB344" s="87" t="s">
        <v>72</v>
      </c>
      <c r="AC344" s="87"/>
      <c r="AD344" s="99">
        <v>46043.0</v>
      </c>
      <c r="AE344" s="119">
        <f t="shared" si="9"/>
        <v>1</v>
      </c>
    </row>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1:$AE$344"/>
  <mergeCells count="3">
    <mergeCell ref="E4:H4"/>
    <mergeCell ref="E5:H5"/>
    <mergeCell ref="I11:K11"/>
  </mergeCells>
  <dataValidations>
    <dataValidation type="list" allowBlank="1" showErrorMessage="1" sqref="J12:J344">
      <formula1>Listas!$E$2:$E$33</formula1>
    </dataValidation>
    <dataValidation type="list" allowBlank="1" showErrorMessage="1" sqref="O12:O299 O306:O344">
      <formula1>"VERSÃO 1 (PUBLICADO 06/11/2025),VERSÃO 2 (AGURADANDO PUBLICAÇÃO),SEM PREVISÃO,RETIRADO DO PCA"</formula1>
    </dataValidation>
    <dataValidation type="list" allowBlank="1" showErrorMessage="1" sqref="I12:I344">
      <formula1>Listas!$D$2:$D$9</formula1>
    </dataValidation>
    <dataValidation type="list" allowBlank="1" showErrorMessage="1" sqref="P12 P71:P74 P93 P103:P110 P113 P120 P149:P152 P157:P158 P168:P169 P180 P194 P196 P206:P207 P209:P214 P217 P220 P222 P225:P229 P231:P232 P234:P241 P244 P254:P257 P260 P271 P274:P275 P281 P284:P285 P287:P291 P294 P296 P306 P309:P318 P320 P334 P336 P343:P344">
      <formula1>"BAIXA,MÉDIA,ALTA"</formula1>
    </dataValidation>
    <dataValidation type="list" allowBlank="1" showErrorMessage="1" sqref="AC12:AC344">
      <formula1>"CONTRATAÇÃO DIRETA,LICITAÇÃO,CONSUMO DE ARP,ADESÃO,INEXIGIBILIDADE"</formula1>
    </dataValidation>
    <dataValidation type="list" allowBlank="1" showErrorMessage="1" sqref="AB300:AB305">
      <formula1>"PROCESSAMENTO,SETOR REQUISITANTE,CPL,CONTRATO VIGENTE,SEM AUTUAÇÃO,ENCERRADO"</formula1>
    </dataValidation>
    <dataValidation type="list" allowBlank="1" showErrorMessage="1" sqref="L12:L344">
      <formula1>Listas!$C$2:$C$8</formula1>
    </dataValidation>
    <dataValidation type="list" allowBlank="1" showErrorMessage="1" sqref="K12:K344">
      <formula1>Listas!$F$2:$F$88</formula1>
    </dataValidation>
    <dataValidation type="list" allowBlank="1" showErrorMessage="1" sqref="AB12:AB299 AB306:AB344">
      <formula1>"PROCESSAMENTO,SETOR REQUISITANTE,CPL,CONTRATO VIGENTE,SEM AUTUAÇÃO"</formula1>
    </dataValidation>
    <dataValidation type="list" allowBlank="1" showErrorMessage="1" sqref="O300:O305">
      <formula1>"VERSÃO 1 (PUBLICADO 06/11/2025),VERSÃO 2 (AGURADANDO PUBLICAÇÃO),SEM PREVISÃO,RETIRADO DO PCA,VERSÃO 2 (PUBLICADO 21/1/2025),VERSÃO 4 (PUBLICADO 22/4/2026)"</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19.13"/>
    <col customWidth="1" min="2" max="2" width="29.25"/>
    <col customWidth="1" min="3" max="4" width="19.75"/>
    <col customWidth="1" min="5" max="5" width="22.13"/>
    <col customWidth="1" min="6" max="6" width="11.38"/>
    <col customWidth="1" min="7" max="7" width="12.25"/>
    <col customWidth="1" min="8" max="8" width="8.5"/>
    <col customWidth="1" min="9" max="9" width="10.0"/>
    <col customWidth="1" min="10" max="10" width="15.13"/>
    <col customWidth="1" min="11" max="11" width="29.88"/>
  </cols>
  <sheetData>
    <row r="1">
      <c r="A1" s="7"/>
      <c r="B1" s="7"/>
      <c r="C1" s="7"/>
      <c r="D1" s="8"/>
      <c r="E1" s="10"/>
      <c r="F1" s="10"/>
      <c r="G1" s="10"/>
      <c r="H1" s="10"/>
      <c r="I1" s="10"/>
      <c r="J1" s="7"/>
      <c r="K1" s="8"/>
    </row>
    <row r="2">
      <c r="A2" s="7"/>
      <c r="B2" s="7"/>
      <c r="C2" s="13" t="s">
        <v>2</v>
      </c>
      <c r="D2" s="16"/>
      <c r="E2" s="18" t="s">
        <v>5</v>
      </c>
      <c r="F2" s="19"/>
      <c r="G2" s="20"/>
      <c r="H2" s="7"/>
      <c r="I2" s="10"/>
      <c r="J2" s="7"/>
      <c r="K2" s="8"/>
    </row>
    <row r="3">
      <c r="A3" s="7"/>
      <c r="B3" s="7"/>
      <c r="C3" s="13" t="s">
        <v>6</v>
      </c>
      <c r="D3" s="16"/>
      <c r="E3" s="18" t="s">
        <v>7</v>
      </c>
      <c r="F3" s="19"/>
      <c r="G3" s="20"/>
      <c r="H3" s="7"/>
      <c r="I3" s="10"/>
      <c r="K3" s="24"/>
    </row>
    <row r="4">
      <c r="A4" s="7"/>
      <c r="B4" s="7"/>
      <c r="C4" s="7"/>
      <c r="D4" s="10"/>
      <c r="E4" s="10"/>
      <c r="F4" s="10"/>
      <c r="G4" s="10"/>
      <c r="H4" s="10"/>
      <c r="I4" s="10"/>
      <c r="J4" s="33">
        <f>SUBTOTAL(109, J7:J576)</f>
        <v>62467397.64</v>
      </c>
      <c r="K4" s="8"/>
    </row>
    <row r="5">
      <c r="A5" s="34" t="s">
        <v>13</v>
      </c>
      <c r="B5" s="19"/>
      <c r="C5" s="19"/>
      <c r="D5" s="19"/>
      <c r="E5" s="19"/>
      <c r="F5" s="19"/>
      <c r="G5" s="19"/>
      <c r="H5" s="19"/>
      <c r="I5" s="19"/>
      <c r="J5" s="19"/>
      <c r="K5" s="20"/>
    </row>
    <row r="6" ht="45.0" customHeight="1">
      <c r="A6" s="39" t="str">
        <f>IFERROR(__xludf.DUMMYFUNCTION("LET(total_visiveis, SUMIF('PCA 2026 - POR ITENS'!AE12:AE576, 1), total_geral, COUNTA('PCA 2026 - POR ITENS'!R12:R576), col_ug, IF(total_visiveis=total_geral, ""'Todas as UGs'"", ""N""), QUERY('PCA 2026 - POR ITENS'!A11:AE576, ""SELECT "" &amp; col_ug &amp; "", R,"&amp;" I, MAX(B), MAX(L), MAX(G), MAX(H), MAX(D), SUM(E), SUM(F), MAX(M) WHERE R IS NOT NULL AND AE = 1 GROUP BY "" &amp; col_ug &amp; "", R, I LABEL "" &amp; col_ug &amp; "" 'UG', R 'Linha do PCA', I 'Classificação Orçamentária', MAX(B) 'Setor Demandante', MAX(L) 'Fonte de Re"&amp;"cursos', MAX(G) 'Tipo de Contratação', MAX(H) 'Previsão da aquisição', MAX(D) 'Unid. Medida', SUM(E) 'Qtd total estimada', SUM(F) 'Estimativa preliminar de valor', MAX(M) 'Agente de Contratação'""))"),"UG")</f>
        <v>UG</v>
      </c>
      <c r="B6" s="39" t="str">
        <f>IFERROR(__xludf.DUMMYFUNCTION("""COMPUTED_VALUE"""),"Linha do PCA")</f>
        <v>Linha do PCA</v>
      </c>
      <c r="C6" s="39" t="str">
        <f>IFERROR(__xludf.DUMMYFUNCTION("""COMPUTED_VALUE"""),"Classificação Orçamentária")</f>
        <v>Classificação Orçamentária</v>
      </c>
      <c r="D6" s="39" t="str">
        <f>IFERROR(__xludf.DUMMYFUNCTION("""COMPUTED_VALUE"""),"Setor Demandante")</f>
        <v>Setor Demandante</v>
      </c>
      <c r="E6" s="39" t="str">
        <f>IFERROR(__xludf.DUMMYFUNCTION("""COMPUTED_VALUE"""),"Fonte de Recursos")</f>
        <v>Fonte de Recursos</v>
      </c>
      <c r="F6" s="39" t="str">
        <f>IFERROR(__xludf.DUMMYFUNCTION("""COMPUTED_VALUE"""),"Tipo de Contratação")</f>
        <v>Tipo de Contratação</v>
      </c>
      <c r="G6" s="39" t="str">
        <f>IFERROR(__xludf.DUMMYFUNCTION("""COMPUTED_VALUE"""),"Previsão da aquisição")</f>
        <v>Previsão da aquisição</v>
      </c>
      <c r="H6" s="39" t="str">
        <f>IFERROR(__xludf.DUMMYFUNCTION("""COMPUTED_VALUE"""),"Unid. Medida")</f>
        <v>Unid. Medida</v>
      </c>
      <c r="I6" s="39" t="str">
        <f>IFERROR(__xludf.DUMMYFUNCTION("""COMPUTED_VALUE"""),"Qtd total estimada")</f>
        <v>Qtd total estimada</v>
      </c>
      <c r="J6" s="39" t="str">
        <f>IFERROR(__xludf.DUMMYFUNCTION("""COMPUTED_VALUE"""),"Estimativa preliminar de valor")</f>
        <v>Estimativa preliminar de valor</v>
      </c>
      <c r="K6" s="39" t="str">
        <f>IFERROR(__xludf.DUMMYFUNCTION("""COMPUTED_VALUE"""),"Agente de Contratação")</f>
        <v>Agente de Contratação</v>
      </c>
    </row>
    <row r="7" ht="43.5" customHeight="1">
      <c r="A7" s="40" t="str">
        <f>IFERROR(__xludf.DUMMYFUNCTION("""COMPUTED_VALUE"""),"CBMES")</f>
        <v>CBMES</v>
      </c>
      <c r="B7" s="40" t="str">
        <f>IFERROR(__xludf.DUMMYFUNCTION("""COMPUTED_VALUE"""),"Aparelhos de Medição e Orientação")</f>
        <v>Aparelhos de Medição e Orientação</v>
      </c>
      <c r="C7" s="40" t="str">
        <f>IFERROR(__xludf.DUMMYFUNCTION("""COMPUTED_VALUE"""),"3 - OUTRAS DESPESAS CORRENTES")</f>
        <v>3 - OUTRAS DESPESAS CORRENTES</v>
      </c>
      <c r="D7" s="41" t="str">
        <f>IFERROR(__xludf.DUMMYFUNCTION("""COMPUTED_VALUE"""),"2° CIA DO 3° BBM")</f>
        <v>2° CIA DO 3° BBM</v>
      </c>
      <c r="E7" s="40" t="str">
        <f>IFERROR(__xludf.DUMMYFUNCTION("""COMPUTED_VALUE"""),"RECURSOS DE CAIXA DO TESOURO")</f>
        <v>RECURSOS DE CAIXA DO TESOURO</v>
      </c>
      <c r="F7" s="40" t="str">
        <f>IFERROR(__xludf.DUMMYFUNCTION("""COMPUTED_VALUE"""),"NOVA")</f>
        <v>NOVA</v>
      </c>
      <c r="G7" s="43">
        <f>IFERROR(__xludf.DUMMYFUNCTION("""COMPUTED_VALUE"""),46235.0)</f>
        <v>46235</v>
      </c>
      <c r="H7" s="40" t="str">
        <f>IFERROR(__xludf.DUMMYFUNCTION("""COMPUTED_VALUE"""),"UN")</f>
        <v>UN</v>
      </c>
      <c r="I7" s="45">
        <f>IFERROR(__xludf.DUMMYFUNCTION("""COMPUTED_VALUE"""),6.0)</f>
        <v>6</v>
      </c>
      <c r="J7" s="41">
        <f>IFERROR(__xludf.DUMMYFUNCTION("""COMPUTED_VALUE"""),28800.0)</f>
        <v>28800</v>
      </c>
      <c r="K7" s="41" t="str">
        <f>IFERROR(__xludf.DUMMYFUNCTION("""COMPUTED_VALUE"""),"MAJ QOCBM MARCIO DA COSTA CAVACHINI, NF 2758512")</f>
        <v>MAJ QOCBM MARCIO DA COSTA CAVACHINI, NF 2758512</v>
      </c>
    </row>
    <row r="8" ht="43.5" customHeight="1">
      <c r="A8" s="47" t="str">
        <f>IFERROR(__xludf.DUMMYFUNCTION("""COMPUTED_VALUE"""),"CBMES")</f>
        <v>CBMES</v>
      </c>
      <c r="B8" s="47" t="str">
        <f>IFERROR(__xludf.DUMMYFUNCTION("""COMPUTED_VALUE"""),"Aparelhos e Utensílios Domésticos")</f>
        <v>Aparelhos e Utensílios Domésticos</v>
      </c>
      <c r="C8" s="47" t="str">
        <f>IFERROR(__xludf.DUMMYFUNCTION("""COMPUTED_VALUE"""),"4 - INVESTIMENTOS")</f>
        <v>4 - INVESTIMENTOS</v>
      </c>
      <c r="D8" s="48" t="str">
        <f>IFERROR(__xludf.DUMMYFUNCTION("""COMPUTED_VALUE"""),"1ª CIA DO 5º BBM")</f>
        <v>1ª CIA DO 5º BBM</v>
      </c>
      <c r="E8" s="47" t="str">
        <f>IFERROR(__xludf.DUMMYFUNCTION("""COMPUTED_VALUE"""),"RECURSOS DE CAIXA DO TESOURO")</f>
        <v>RECURSOS DE CAIXA DO TESOURO</v>
      </c>
      <c r="F8" s="47" t="str">
        <f>IFERROR(__xludf.DUMMYFUNCTION("""COMPUTED_VALUE"""),"NOVA")</f>
        <v>NOVA</v>
      </c>
      <c r="G8" s="50">
        <f>IFERROR(__xludf.DUMMYFUNCTION("""COMPUTED_VALUE"""),46266.0)</f>
        <v>46266</v>
      </c>
      <c r="H8" s="47" t="str">
        <f>IFERROR(__xludf.DUMMYFUNCTION("""COMPUTED_VALUE"""),"UN")</f>
        <v>UN</v>
      </c>
      <c r="I8" s="52">
        <f>IFERROR(__xludf.DUMMYFUNCTION("""COMPUTED_VALUE"""),3.0)</f>
        <v>3</v>
      </c>
      <c r="J8" s="48">
        <f>IFERROR(__xludf.DUMMYFUNCTION("""COMPUTED_VALUE"""),10000.0)</f>
        <v>10000</v>
      </c>
      <c r="K8" s="48" t="str">
        <f>IFERROR(__xludf.DUMMYFUNCTION("""COMPUTED_VALUE"""),"CAP QOCBM GUILHERME MARTINELLI SCHULZ, NF 3693864")</f>
        <v>CAP QOCBM GUILHERME MARTINELLI SCHULZ, NF 3693864</v>
      </c>
    </row>
    <row r="9" ht="43.5" customHeight="1">
      <c r="A9" s="40" t="str">
        <f>IFERROR(__xludf.DUMMYFUNCTION("""COMPUTED_VALUE"""),"CBMES")</f>
        <v>CBMES</v>
      </c>
      <c r="B9" s="40" t="str">
        <f>IFERROR(__xludf.DUMMYFUNCTION("""COMPUTED_VALUE"""),"Comercialização / Distribuição - Vale Transporte")</f>
        <v>Comercialização / Distribuição - Vale Transporte</v>
      </c>
      <c r="C9" s="40" t="str">
        <f>IFERROR(__xludf.DUMMYFUNCTION("""COMPUTED_VALUE"""),"3 - OUTRAS DESPESAS CORRENTES")</f>
        <v>3 - OUTRAS DESPESAS CORRENTES</v>
      </c>
      <c r="D9" s="41" t="str">
        <f>IFERROR(__xludf.DUMMYFUNCTION("""COMPUTED_VALUE"""),"SCC")</f>
        <v>SCC</v>
      </c>
      <c r="E9" s="40" t="str">
        <f>IFERROR(__xludf.DUMMYFUNCTION("""COMPUTED_VALUE"""),"RECURSOS DE CAIXA DO TESOURO")</f>
        <v>RECURSOS DE CAIXA DO TESOURO</v>
      </c>
      <c r="F9" s="40" t="str">
        <f>IFERROR(__xludf.DUMMYFUNCTION("""COMPUTED_VALUE"""),"EXISTENTE A SER RENOVADA")</f>
        <v>EXISTENTE A SER RENOVADA</v>
      </c>
      <c r="G9" s="43">
        <f>IFERROR(__xludf.DUMMYFUNCTION("""COMPUTED_VALUE"""),46266.0)</f>
        <v>46266</v>
      </c>
      <c r="H9" s="40" t="str">
        <f>IFERROR(__xludf.DUMMYFUNCTION("""COMPUTED_VALUE"""),"UN")</f>
        <v>UN</v>
      </c>
      <c r="I9" s="45">
        <f>IFERROR(__xludf.DUMMYFUNCTION("""COMPUTED_VALUE"""),1.0)</f>
        <v>1</v>
      </c>
      <c r="J9" s="41">
        <f>IFERROR(__xludf.DUMMYFUNCTION("""COMPUTED_VALUE"""),160000.0)</f>
        <v>160000</v>
      </c>
      <c r="K9" s="41" t="str">
        <f>IFERROR(__xludf.DUMMYFUNCTION("""COMPUTED_VALUE"""),"3º SGT BM KEZIA KAROLINA DE SOUZA PIMENTEL, NF 3036448")</f>
        <v>3º SGT BM KEZIA KAROLINA DE SOUZA PIMENTEL, NF 3036448</v>
      </c>
    </row>
    <row r="10" ht="43.5" customHeight="1">
      <c r="A10" s="47" t="str">
        <f>IFERROR(__xludf.DUMMYFUNCTION("""COMPUTED_VALUE"""),"CBMES")</f>
        <v>CBMES</v>
      </c>
      <c r="B10" s="47" t="str">
        <f>IFERROR(__xludf.DUMMYFUNCTION("""COMPUTED_VALUE"""),"Contrato de fornecimento de água")</f>
        <v>Contrato de fornecimento de água</v>
      </c>
      <c r="C10" s="47" t="str">
        <f>IFERROR(__xludf.DUMMYFUNCTION("""COMPUTED_VALUE"""),"3 - OUTRAS DESPESAS CORRENTES")</f>
        <v>3 - OUTRAS DESPESAS CORRENTES</v>
      </c>
      <c r="D10" s="48" t="str">
        <f>IFERROR(__xludf.DUMMYFUNCTION("""COMPUTED_VALUE"""),"SCC")</f>
        <v>SCC</v>
      </c>
      <c r="E10" s="47" t="str">
        <f>IFERROR(__xludf.DUMMYFUNCTION("""COMPUTED_VALUE"""),"RECURSOS DE CAIXA DO TESOURO")</f>
        <v>RECURSOS DE CAIXA DO TESOURO</v>
      </c>
      <c r="F10" s="47" t="str">
        <f>IFERROR(__xludf.DUMMYFUNCTION("""COMPUTED_VALUE"""),"EXISTENTE A SER RENOVADA")</f>
        <v>EXISTENTE A SER RENOVADA</v>
      </c>
      <c r="G10" s="50">
        <f>IFERROR(__xludf.DUMMYFUNCTION("""COMPUTED_VALUE"""),46266.0)</f>
        <v>46266</v>
      </c>
      <c r="H10" s="47" t="str">
        <f>IFERROR(__xludf.DUMMYFUNCTION("""COMPUTED_VALUE"""),"UN")</f>
        <v>UN</v>
      </c>
      <c r="I10" s="52">
        <f>IFERROR(__xludf.DUMMYFUNCTION("""COMPUTED_VALUE"""),3.0)</f>
        <v>3</v>
      </c>
      <c r="J10" s="48">
        <f>IFERROR(__xludf.DUMMYFUNCTION("""COMPUTED_VALUE"""),144000.0)</f>
        <v>144000</v>
      </c>
      <c r="K10" s="48" t="str">
        <f>IFERROR(__xludf.DUMMYFUNCTION("""COMPUTED_VALUE"""),"2º TEN QOABM  RR DELCYR MUNALDI FLORES, NF 900993")</f>
        <v>2º TEN QOABM  RR DELCYR MUNALDI FLORES, NF 900993</v>
      </c>
    </row>
    <row r="11" ht="43.5" customHeight="1">
      <c r="A11" s="40" t="str">
        <f>IFERROR(__xludf.DUMMYFUNCTION("""COMPUTED_VALUE"""),"CBMES")</f>
        <v>CBMES</v>
      </c>
      <c r="B11" s="40" t="str">
        <f>IFERROR(__xludf.DUMMYFUNCTION("""COMPUTED_VALUE"""),"Contrato energia elétrica")</f>
        <v>Contrato energia elétrica</v>
      </c>
      <c r="C11" s="40" t="str">
        <f>IFERROR(__xludf.DUMMYFUNCTION("""COMPUTED_VALUE"""),"3 - OUTRAS DESPESAS CORRENTES")</f>
        <v>3 - OUTRAS DESPESAS CORRENTES</v>
      </c>
      <c r="D11" s="41" t="str">
        <f>IFERROR(__xludf.DUMMYFUNCTION("""COMPUTED_VALUE"""),"SCC")</f>
        <v>SCC</v>
      </c>
      <c r="E11" s="40" t="str">
        <f>IFERROR(__xludf.DUMMYFUNCTION("""COMPUTED_VALUE"""),"RECURSOS DE CAIXA DO TESOURO")</f>
        <v>RECURSOS DE CAIXA DO TESOURO</v>
      </c>
      <c r="F11" s="40" t="str">
        <f>IFERROR(__xludf.DUMMYFUNCTION("""COMPUTED_VALUE"""),"EXISTENTE A SER RENOVADA")</f>
        <v>EXISTENTE A SER RENOVADA</v>
      </c>
      <c r="G11" s="43">
        <f>IFERROR(__xludf.DUMMYFUNCTION("""COMPUTED_VALUE"""),46266.0)</f>
        <v>46266</v>
      </c>
      <c r="H11" s="40" t="str">
        <f>IFERROR(__xludf.DUMMYFUNCTION("""COMPUTED_VALUE"""),"UN")</f>
        <v>UN</v>
      </c>
      <c r="I11" s="45">
        <f>IFERROR(__xludf.DUMMYFUNCTION("""COMPUTED_VALUE"""),1.0)</f>
        <v>1</v>
      </c>
      <c r="J11" s="41">
        <f>IFERROR(__xludf.DUMMYFUNCTION("""COMPUTED_VALUE"""),1000000.0)</f>
        <v>1000000</v>
      </c>
      <c r="K11" s="41" t="str">
        <f>IFERROR(__xludf.DUMMYFUNCTION("""COMPUTED_VALUE"""),"2º TEN QOABM  RR DELCYR MUNALDI FLORES, NF 900993")</f>
        <v>2º TEN QOABM  RR DELCYR MUNALDI FLORES, NF 900993</v>
      </c>
    </row>
    <row r="12" ht="43.5" customHeight="1">
      <c r="A12" s="47" t="str">
        <f>IFERROR(__xludf.DUMMYFUNCTION("""COMPUTED_VALUE"""),"CBMES")</f>
        <v>CBMES</v>
      </c>
      <c r="B12" s="47" t="str">
        <f>IFERROR(__xludf.DUMMYFUNCTION("""COMPUTED_VALUE"""),"Cursos e Diárias")</f>
        <v>Cursos e Diárias</v>
      </c>
      <c r="C12" s="47" t="str">
        <f>IFERROR(__xludf.DUMMYFUNCTION("""COMPUTED_VALUE"""),"3 - OUTRAS DESPESAS CORRENTES")</f>
        <v>3 - OUTRAS DESPESAS CORRENTES</v>
      </c>
      <c r="D12" s="48" t="str">
        <f>IFERROR(__xludf.DUMMYFUNCTION("""COMPUTED_VALUE"""),"CEIB")</f>
        <v>CEIB</v>
      </c>
      <c r="E12" s="47" t="str">
        <f>IFERROR(__xludf.DUMMYFUNCTION("""COMPUTED_VALUE"""),"RECURSOS VINCULADOS DO TESOURO")</f>
        <v>RECURSOS VINCULADOS DO TESOURO</v>
      </c>
      <c r="F12" s="47" t="str">
        <f>IFERROR(__xludf.DUMMYFUNCTION("""COMPUTED_VALUE"""),"NOVA")</f>
        <v>NOVA</v>
      </c>
      <c r="G12" s="50">
        <f>IFERROR(__xludf.DUMMYFUNCTION("""COMPUTED_VALUE"""),46266.0)</f>
        <v>46266</v>
      </c>
      <c r="H12" s="47" t="str">
        <f>IFERROR(__xludf.DUMMYFUNCTION("""COMPUTED_VALUE"""),"UN")</f>
        <v>UN</v>
      </c>
      <c r="I12" s="52">
        <f>IFERROR(__xludf.DUMMYFUNCTION("""COMPUTED_VALUE"""),3.0)</f>
        <v>3</v>
      </c>
      <c r="J12" s="48">
        <f>IFERROR(__xludf.DUMMYFUNCTION("""COMPUTED_VALUE"""),100000.0)</f>
        <v>100000</v>
      </c>
      <c r="K12" s="48" t="str">
        <f>IFERROR(__xludf.DUMMYFUNCTION("""COMPUTED_VALUE"""),"MAJ QOCBM DANIEL ALVES ZANDONADI, NF 904070")</f>
        <v>MAJ QOCBM DANIEL ALVES ZANDONADI, NF 904070</v>
      </c>
    </row>
    <row r="13" ht="43.5" customHeight="1">
      <c r="A13" s="40" t="str">
        <f>IFERROR(__xludf.DUMMYFUNCTION("""COMPUTED_VALUE"""),"CBMES")</f>
        <v>CBMES</v>
      </c>
      <c r="B13" s="40" t="str">
        <f>IFERROR(__xludf.DUMMYFUNCTION("""COMPUTED_VALUE"""),"Equipamento de Proteção, Segurança e Socorro")</f>
        <v>Equipamento de Proteção, Segurança e Socorro</v>
      </c>
      <c r="C13" s="40" t="str">
        <f>IFERROR(__xludf.DUMMYFUNCTION("""COMPUTED_VALUE"""),"3 - OUTRAS DESPESAS CORRENTES")</f>
        <v>3 - OUTRAS DESPESAS CORRENTES</v>
      </c>
      <c r="D13" s="41" t="str">
        <f>IFERROR(__xludf.DUMMYFUNCTION("""COMPUTED_VALUE"""),"5° CIA IND")</f>
        <v>5° CIA IND</v>
      </c>
      <c r="E13" s="40" t="str">
        <f>IFERROR(__xludf.DUMMYFUNCTION("""COMPUTED_VALUE"""),"RECURSOS DE CAIXA DO TESOURO")</f>
        <v>RECURSOS DE CAIXA DO TESOURO</v>
      </c>
      <c r="F13" s="40" t="str">
        <f>IFERROR(__xludf.DUMMYFUNCTION("""COMPUTED_VALUE"""),"NOVA")</f>
        <v>NOVA</v>
      </c>
      <c r="G13" s="43">
        <f>IFERROR(__xludf.DUMMYFUNCTION("""COMPUTED_VALUE"""),46174.0)</f>
        <v>46174</v>
      </c>
      <c r="H13" s="40" t="str">
        <f>IFERROR(__xludf.DUMMYFUNCTION("""COMPUTED_VALUE"""),"UN")</f>
        <v>UN</v>
      </c>
      <c r="I13" s="45">
        <f>IFERROR(__xludf.DUMMYFUNCTION("""COMPUTED_VALUE"""),4.0)</f>
        <v>4</v>
      </c>
      <c r="J13" s="41">
        <f>IFERROR(__xludf.DUMMYFUNCTION("""COMPUTED_VALUE"""),8000.0)</f>
        <v>8000</v>
      </c>
      <c r="K13" s="41" t="str">
        <f>IFERROR(__xludf.DUMMYFUNCTION("""COMPUTED_VALUE"""),"CAP QOCBM GUILHERME MARTINELLI SCHULZ, NF 3693864")</f>
        <v>CAP QOCBM GUILHERME MARTINELLI SCHULZ, NF 3693864</v>
      </c>
    </row>
    <row r="14" ht="43.5" customHeight="1">
      <c r="A14" s="47" t="str">
        <f>IFERROR(__xludf.DUMMYFUNCTION("""COMPUTED_VALUE"""),"CBMES")</f>
        <v>CBMES</v>
      </c>
      <c r="B14" s="47" t="str">
        <f>IFERROR(__xludf.DUMMYFUNCTION("""COMPUTED_VALUE"""),"Ferramentas")</f>
        <v>Ferramentas</v>
      </c>
      <c r="C14" s="47" t="str">
        <f>IFERROR(__xludf.DUMMYFUNCTION("""COMPUTED_VALUE"""),"3 - OUTRAS DESPESAS CORRENTES")</f>
        <v>3 - OUTRAS DESPESAS CORRENTES</v>
      </c>
      <c r="D14" s="48" t="str">
        <f>IFERROR(__xludf.DUMMYFUNCTION("""COMPUTED_VALUE"""),"CEIB")</f>
        <v>CEIB</v>
      </c>
      <c r="E14" s="47" t="str">
        <f>IFERROR(__xludf.DUMMYFUNCTION("""COMPUTED_VALUE"""),"RECURSOS VINCULADOS DO TESOURO")</f>
        <v>RECURSOS VINCULADOS DO TESOURO</v>
      </c>
      <c r="F14" s="47" t="str">
        <f>IFERROR(__xludf.DUMMYFUNCTION("""COMPUTED_VALUE"""),"NOVA")</f>
        <v>NOVA</v>
      </c>
      <c r="G14" s="50">
        <f>IFERROR(__xludf.DUMMYFUNCTION("""COMPUTED_VALUE"""),46204.0)</f>
        <v>46204</v>
      </c>
      <c r="H14" s="47" t="str">
        <f>IFERROR(__xludf.DUMMYFUNCTION("""COMPUTED_VALUE"""),"UN")</f>
        <v>UN</v>
      </c>
      <c r="I14" s="52">
        <f>IFERROR(__xludf.DUMMYFUNCTION("""COMPUTED_VALUE"""),38.0)</f>
        <v>38</v>
      </c>
      <c r="J14" s="48">
        <f>IFERROR(__xludf.DUMMYFUNCTION("""COMPUTED_VALUE"""),21652.0)</f>
        <v>21652</v>
      </c>
      <c r="K14" s="48" t="str">
        <f>IFERROR(__xludf.DUMMYFUNCTION("""COMPUTED_VALUE"""),"SERVIDORA CIVIL ALESSANDRA SANT´ANNA RUFINO, NF 2956667")</f>
        <v>SERVIDORA CIVIL ALESSANDRA SANT´ANNA RUFINO, NF 2956667</v>
      </c>
    </row>
    <row r="15" ht="43.5" customHeight="1">
      <c r="A15" s="40" t="str">
        <f>IFERROR(__xludf.DUMMYFUNCTION("""COMPUTED_VALUE"""),"CBMES")</f>
        <v>CBMES</v>
      </c>
      <c r="B15" s="40" t="str">
        <f>IFERROR(__xludf.DUMMYFUNCTION("""COMPUTED_VALUE"""),"Fornecimento de Alimentação")</f>
        <v>Fornecimento de Alimentação</v>
      </c>
      <c r="C15" s="40" t="str">
        <f>IFERROR(__xludf.DUMMYFUNCTION("""COMPUTED_VALUE"""),"3 - OUTRAS DESPESAS CORRENTES")</f>
        <v>3 - OUTRAS DESPESAS CORRENTES</v>
      </c>
      <c r="D15" s="41" t="str">
        <f>IFERROR(__xludf.DUMMYFUNCTION("""COMPUTED_VALUE"""),"ASCOM")</f>
        <v>ASCOM</v>
      </c>
      <c r="E15" s="40" t="str">
        <f>IFERROR(__xludf.DUMMYFUNCTION("""COMPUTED_VALUE"""),"RECURSOS DE CAIXA DO TESOURO")</f>
        <v>RECURSOS DE CAIXA DO TESOURO</v>
      </c>
      <c r="F15" s="40" t="str">
        <f>IFERROR(__xludf.DUMMYFUNCTION("""COMPUTED_VALUE"""),"NOVA")</f>
        <v>NOVA</v>
      </c>
      <c r="G15" s="43">
        <f>IFERROR(__xludf.DUMMYFUNCTION("""COMPUTED_VALUE"""),46235.0)</f>
        <v>46235</v>
      </c>
      <c r="H15" s="40" t="str">
        <f>IFERROR(__xludf.DUMMYFUNCTION("""COMPUTED_VALUE"""),"UN")</f>
        <v>UN</v>
      </c>
      <c r="I15" s="45">
        <f>IFERROR(__xludf.DUMMYFUNCTION("""COMPUTED_VALUE"""),810.0)</f>
        <v>810</v>
      </c>
      <c r="J15" s="41">
        <f>IFERROR(__xludf.DUMMYFUNCTION("""COMPUTED_VALUE"""),31500.0)</f>
        <v>31500</v>
      </c>
      <c r="K15" s="41" t="str">
        <f>IFERROR(__xludf.DUMMYFUNCTION("""COMPUTED_VALUE"""),"SERVIDORA CIVIL GIULIANE MOREIRA, NF 3031942")</f>
        <v>SERVIDORA CIVIL GIULIANE MOREIRA, NF 3031942</v>
      </c>
    </row>
    <row r="16" ht="43.5" customHeight="1">
      <c r="A16" s="47" t="str">
        <f>IFERROR(__xludf.DUMMYFUNCTION("""COMPUTED_VALUE"""),"CBMES")</f>
        <v>CBMES</v>
      </c>
      <c r="B16" s="47" t="str">
        <f>IFERROR(__xludf.DUMMYFUNCTION("""COMPUTED_VALUE"""),"Gêneros de Alimentação")</f>
        <v>Gêneros de Alimentação</v>
      </c>
      <c r="C16" s="47" t="str">
        <f>IFERROR(__xludf.DUMMYFUNCTION("""COMPUTED_VALUE"""),"3 - OUTRAS DESPESAS CORRENTES")</f>
        <v>3 - OUTRAS DESPESAS CORRENTES</v>
      </c>
      <c r="D16" s="48" t="str">
        <f>IFERROR(__xludf.DUMMYFUNCTION("""COMPUTED_VALUE"""),"AJUDÂNCIA")</f>
        <v>AJUDÂNCIA</v>
      </c>
      <c r="E16" s="47" t="str">
        <f>IFERROR(__xludf.DUMMYFUNCTION("""COMPUTED_VALUE"""),"RECURSOS DE CAIXA DO TESOURO")</f>
        <v>RECURSOS DE CAIXA DO TESOURO</v>
      </c>
      <c r="F16" s="47" t="str">
        <f>IFERROR(__xludf.DUMMYFUNCTION("""COMPUTED_VALUE"""),"NOVA")</f>
        <v>NOVA</v>
      </c>
      <c r="G16" s="50">
        <f>IFERROR(__xludf.DUMMYFUNCTION("""COMPUTED_VALUE"""),46204.0)</f>
        <v>46204</v>
      </c>
      <c r="H16" s="47" t="str">
        <f>IFERROR(__xludf.DUMMYFUNCTION("""COMPUTED_VALUE"""),"Pote 400 g")</f>
        <v>Pote 400 g</v>
      </c>
      <c r="I16" s="52">
        <f>IFERROR(__xludf.DUMMYFUNCTION("""COMPUTED_VALUE"""),210.0)</f>
        <v>210</v>
      </c>
      <c r="J16" s="48">
        <f>IFERROR(__xludf.DUMMYFUNCTION("""COMPUTED_VALUE"""),8400.0)</f>
        <v>8400</v>
      </c>
      <c r="K16" s="48" t="str">
        <f>IFERROR(__xludf.DUMMYFUNCTION("""COMPUTED_VALUE"""),"SERVIDORA CIVIL GIULIANE MOREIRA, NF 3031942")</f>
        <v>SERVIDORA CIVIL GIULIANE MOREIRA, NF 3031942</v>
      </c>
    </row>
    <row r="17" ht="43.5" customHeight="1">
      <c r="A17" s="40" t="str">
        <f>IFERROR(__xludf.DUMMYFUNCTION("""COMPUTED_VALUE"""),"CBMES")</f>
        <v>CBMES</v>
      </c>
      <c r="B17" s="40" t="str">
        <f>IFERROR(__xludf.DUMMYFUNCTION("""COMPUTED_VALUE"""),"Material Educativo e Esportivo")</f>
        <v>Material Educativo e Esportivo</v>
      </c>
      <c r="C17" s="40" t="str">
        <f>IFERROR(__xludf.DUMMYFUNCTION("""COMPUTED_VALUE"""),"3 - OUTRAS DESPESAS CORRENTES")</f>
        <v>3 - OUTRAS DESPESAS CORRENTES</v>
      </c>
      <c r="D17" s="41" t="str">
        <f>IFERROR(__xludf.DUMMYFUNCTION("""COMPUTED_VALUE"""),"DGP")</f>
        <v>DGP</v>
      </c>
      <c r="E17" s="40" t="str">
        <f>IFERROR(__xludf.DUMMYFUNCTION("""COMPUTED_VALUE"""),"RECURSOS DE CAIXA DO TESOURO")</f>
        <v>RECURSOS DE CAIXA DO TESOURO</v>
      </c>
      <c r="F17" s="40" t="str">
        <f>IFERROR(__xludf.DUMMYFUNCTION("""COMPUTED_VALUE"""),"NOVA")</f>
        <v>NOVA</v>
      </c>
      <c r="G17" s="43">
        <f>IFERROR(__xludf.DUMMYFUNCTION("""COMPUTED_VALUE"""),46174.0)</f>
        <v>46174</v>
      </c>
      <c r="H17" s="40" t="str">
        <f>IFERROR(__xludf.DUMMYFUNCTION("""COMPUTED_VALUE"""),"UN")</f>
        <v>UN</v>
      </c>
      <c r="I17" s="45">
        <f>IFERROR(__xludf.DUMMYFUNCTION("""COMPUTED_VALUE"""),25.0)</f>
        <v>25</v>
      </c>
      <c r="J17" s="41">
        <f>IFERROR(__xludf.DUMMYFUNCTION("""COMPUTED_VALUE"""),1358.35)</f>
        <v>1358.35</v>
      </c>
      <c r="K17" s="41" t="str">
        <f>IFERROR(__xludf.DUMMYFUNCTION("""COMPUTED_VALUE"""),"CAP QOCBM GUILHERME MARTINELLI SCHULZ, NF 3693864;")</f>
        <v>CAP QOCBM GUILHERME MARTINELLI SCHULZ, NF 3693864;</v>
      </c>
    </row>
    <row r="18" ht="43.5" customHeight="1">
      <c r="A18" s="47" t="str">
        <f>IFERROR(__xludf.DUMMYFUNCTION("""COMPUTED_VALUE"""),"CBMES")</f>
        <v>CBMES</v>
      </c>
      <c r="B18" s="47" t="str">
        <f>IFERROR(__xludf.DUMMYFUNCTION("""COMPUTED_VALUE"""),"Material Elétrico / Energia")</f>
        <v>Material Elétrico / Energia</v>
      </c>
      <c r="C18" s="47" t="str">
        <f>IFERROR(__xludf.DUMMYFUNCTION("""COMPUTED_VALUE"""),"3 - OUTRAS DESPESAS CORRENTES")</f>
        <v>3 - OUTRAS DESPESAS CORRENTES</v>
      </c>
      <c r="D18" s="48" t="str">
        <f>IFERROR(__xludf.DUMMYFUNCTION("""COMPUTED_VALUE"""),"DGP")</f>
        <v>DGP</v>
      </c>
      <c r="E18" s="47" t="str">
        <f>IFERROR(__xludf.DUMMYFUNCTION("""COMPUTED_VALUE"""),"RECURSOS DE CAIXA DO TESOURO")</f>
        <v>RECURSOS DE CAIXA DO TESOURO</v>
      </c>
      <c r="F18" s="47" t="str">
        <f>IFERROR(__xludf.DUMMYFUNCTION("""COMPUTED_VALUE"""),"NOVA")</f>
        <v>NOVA</v>
      </c>
      <c r="G18" s="50">
        <f>IFERROR(__xludf.DUMMYFUNCTION("""COMPUTED_VALUE"""),46204.0)</f>
        <v>46204</v>
      </c>
      <c r="H18" s="47" t="str">
        <f>IFERROR(__xludf.DUMMYFUNCTION("""COMPUTED_VALUE"""),"UN")</f>
        <v>UN</v>
      </c>
      <c r="I18" s="52">
        <f>IFERROR(__xludf.DUMMYFUNCTION("""COMPUTED_VALUE"""),4.0)</f>
        <v>4</v>
      </c>
      <c r="J18" s="48">
        <f>IFERROR(__xludf.DUMMYFUNCTION("""COMPUTED_VALUE"""),4850.0)</f>
        <v>4850</v>
      </c>
      <c r="K18" s="48" t="str">
        <f>IFERROR(__xludf.DUMMYFUNCTION("""COMPUTED_VALUE"""),"MAJ QOCBM MARCIO DA COSTA CAVACHINI, NF 2758512")</f>
        <v>MAJ QOCBM MARCIO DA COSTA CAVACHINI, NF 2758512</v>
      </c>
    </row>
    <row r="19" ht="43.5" customHeight="1">
      <c r="A19" s="40" t="str">
        <f>IFERROR(__xludf.DUMMYFUNCTION("""COMPUTED_VALUE"""),"CBMES")</f>
        <v>CBMES</v>
      </c>
      <c r="B19" s="40" t="str">
        <f>IFERROR(__xludf.DUMMYFUNCTION("""COMPUTED_VALUE"""),"Material Hospitalar")</f>
        <v>Material Hospitalar</v>
      </c>
      <c r="C19" s="40" t="str">
        <f>IFERROR(__xludf.DUMMYFUNCTION("""COMPUTED_VALUE"""),"3 - OUTRAS DESPESAS CORRENTES")</f>
        <v>3 - OUTRAS DESPESAS CORRENTES</v>
      </c>
      <c r="D19" s="41" t="str">
        <f>IFERROR(__xludf.DUMMYFUNCTION("""COMPUTED_VALUE"""),"MATERIAL BÉLICO")</f>
        <v>MATERIAL BÉLICO</v>
      </c>
      <c r="E19" s="40" t="str">
        <f>IFERROR(__xludf.DUMMYFUNCTION("""COMPUTED_VALUE"""),"RECURSOS DE CAIXA DO TESOURO")</f>
        <v>RECURSOS DE CAIXA DO TESOURO</v>
      </c>
      <c r="F19" s="40" t="str">
        <f>IFERROR(__xludf.DUMMYFUNCTION("""COMPUTED_VALUE"""),"NOVA")</f>
        <v>NOVA</v>
      </c>
      <c r="G19" s="43">
        <f>IFERROR(__xludf.DUMMYFUNCTION("""COMPUTED_VALUE"""),46204.0)</f>
        <v>46204</v>
      </c>
      <c r="H19" s="40" t="str">
        <f>IFERROR(__xludf.DUMMYFUNCTION("""COMPUTED_VALUE"""),"pacote 100g")</f>
        <v>pacote 100g</v>
      </c>
      <c r="I19" s="45">
        <f>IFERROR(__xludf.DUMMYFUNCTION("""COMPUTED_VALUE"""),1177.0)</f>
        <v>1177</v>
      </c>
      <c r="J19" s="41">
        <f>IFERROR(__xludf.DUMMYFUNCTION("""COMPUTED_VALUE"""),16960.84)</f>
        <v>16960.84</v>
      </c>
      <c r="K19" s="41" t="str">
        <f>IFERROR(__xludf.DUMMYFUNCTION("""COMPUTED_VALUE"""),"SERVIDORA CIVIL GIULIANE MOREIRA, NF 3031942")</f>
        <v>SERVIDORA CIVIL GIULIANE MOREIRA, NF 3031942</v>
      </c>
    </row>
    <row r="20" ht="43.5" customHeight="1">
      <c r="A20" s="47" t="str">
        <f>IFERROR(__xludf.DUMMYFUNCTION("""COMPUTED_VALUE"""),"CBMES")</f>
        <v>CBMES</v>
      </c>
      <c r="B20" s="47" t="str">
        <f>IFERROR(__xludf.DUMMYFUNCTION("""COMPUTED_VALUE"""),"Material Para Manutenção de Bens Móveis")</f>
        <v>Material Para Manutenção de Bens Móveis</v>
      </c>
      <c r="C20" s="47" t="str">
        <f>IFERROR(__xludf.DUMMYFUNCTION("""COMPUTED_VALUE"""),"3 - OUTRAS DESPESAS CORRENTES")</f>
        <v>3 - OUTRAS DESPESAS CORRENTES</v>
      </c>
      <c r="D20" s="48" t="str">
        <f>IFERROR(__xludf.DUMMYFUNCTION("""COMPUTED_VALUE"""),"DGP")</f>
        <v>DGP</v>
      </c>
      <c r="E20" s="47" t="str">
        <f>IFERROR(__xludf.DUMMYFUNCTION("""COMPUTED_VALUE"""),"RECURSOS DE CAIXA DO TESOURO")</f>
        <v>RECURSOS DE CAIXA DO TESOURO</v>
      </c>
      <c r="F20" s="47" t="str">
        <f>IFERROR(__xludf.DUMMYFUNCTION("""COMPUTED_VALUE"""),"NOVA")</f>
        <v>NOVA</v>
      </c>
      <c r="G20" s="50">
        <f>IFERROR(__xludf.DUMMYFUNCTION("""COMPUTED_VALUE"""),46235.0)</f>
        <v>46235</v>
      </c>
      <c r="H20" s="47" t="str">
        <f>IFERROR(__xludf.DUMMYFUNCTION("""COMPUTED_VALUE"""),"UN")</f>
        <v>UN</v>
      </c>
      <c r="I20" s="52">
        <f>IFERROR(__xludf.DUMMYFUNCTION("""COMPUTED_VALUE"""),31.0)</f>
        <v>31</v>
      </c>
      <c r="J20" s="48">
        <f>IFERROR(__xludf.DUMMYFUNCTION("""COMPUTED_VALUE"""),11650.0)</f>
        <v>11650</v>
      </c>
      <c r="K20" s="48" t="str">
        <f>IFERROR(__xludf.DUMMYFUNCTION("""COMPUTED_VALUE"""),"SERVIDORA CIVIL ALESSANDRA SANT´ANNA RUFINO, NF 2956667")</f>
        <v>SERVIDORA CIVIL ALESSANDRA SANT´ANNA RUFINO, NF 2956667</v>
      </c>
    </row>
    <row r="21" ht="43.5" customHeight="1">
      <c r="A21" s="40" t="str">
        <f>IFERROR(__xludf.DUMMYFUNCTION("""COMPUTED_VALUE"""),"CBMES")</f>
        <v>CBMES</v>
      </c>
      <c r="B21" s="40" t="str">
        <f>IFERROR(__xludf.DUMMYFUNCTION("""COMPUTED_VALUE"""),"Material Químico")</f>
        <v>Material Químico</v>
      </c>
      <c r="C21" s="40" t="str">
        <f>IFERROR(__xludf.DUMMYFUNCTION("""COMPUTED_VALUE"""),"3 - OUTRAS DESPESAS CORRENTES")</f>
        <v>3 - OUTRAS DESPESAS CORRENTES</v>
      </c>
      <c r="D21" s="41" t="str">
        <f>IFERROR(__xludf.DUMMYFUNCTION("""COMPUTED_VALUE"""),"PREFEITURA DAL")</f>
        <v>PREFEITURA DAL</v>
      </c>
      <c r="E21" s="40" t="str">
        <f>IFERROR(__xludf.DUMMYFUNCTION("""COMPUTED_VALUE"""),"RECURSOS DE CAIXA DO TESOURO")</f>
        <v>RECURSOS DE CAIXA DO TESOURO</v>
      </c>
      <c r="F21" s="40" t="str">
        <f>IFERROR(__xludf.DUMMYFUNCTION("""COMPUTED_VALUE"""),"NOVA")</f>
        <v>NOVA</v>
      </c>
      <c r="G21" s="43">
        <f>IFERROR(__xludf.DUMMYFUNCTION("""COMPUTED_VALUE"""),46174.0)</f>
        <v>46174</v>
      </c>
      <c r="H21" s="40" t="str">
        <f>IFERROR(__xludf.DUMMYFUNCTION("""COMPUTED_VALUE"""),"UN")</f>
        <v>UN</v>
      </c>
      <c r="I21" s="45">
        <f>IFERROR(__xludf.DUMMYFUNCTION("""COMPUTED_VALUE"""),1.0)</f>
        <v>1</v>
      </c>
      <c r="J21" s="41">
        <f>IFERROR(__xludf.DUMMYFUNCTION("""COMPUTED_VALUE"""),400.0)</f>
        <v>400</v>
      </c>
      <c r="K21" s="41" t="str">
        <f>IFERROR(__xludf.DUMMYFUNCTION("""COMPUTED_VALUE"""),"SERVIDORA CIVIL GIULIANE MOREIRA, NF 3031942")</f>
        <v>SERVIDORA CIVIL GIULIANE MOREIRA, NF 3031942</v>
      </c>
    </row>
    <row r="22" ht="43.5" customHeight="1">
      <c r="A22" s="47" t="str">
        <f>IFERROR(__xludf.DUMMYFUNCTION("""COMPUTED_VALUE"""),"CBMES")</f>
        <v>CBMES</v>
      </c>
      <c r="B22" s="47" t="str">
        <f>IFERROR(__xludf.DUMMYFUNCTION("""COMPUTED_VALUE"""),"Material de Construção")</f>
        <v>Material de Construção</v>
      </c>
      <c r="C22" s="47" t="str">
        <f>IFERROR(__xludf.DUMMYFUNCTION("""COMPUTED_VALUE"""),"3 - OUTRAS DESPESAS CORRENTES")</f>
        <v>3 - OUTRAS DESPESAS CORRENTES</v>
      </c>
      <c r="D22" s="48" t="str">
        <f>IFERROR(__xludf.DUMMYFUNCTION("""COMPUTED_VALUE"""),"5° CIA IND")</f>
        <v>5° CIA IND</v>
      </c>
      <c r="E22" s="47" t="str">
        <f>IFERROR(__xludf.DUMMYFUNCTION("""COMPUTED_VALUE"""),"RECURSOS DE CAIXA DO TESOURO")</f>
        <v>RECURSOS DE CAIXA DO TESOURO</v>
      </c>
      <c r="F22" s="47" t="str">
        <f>IFERROR(__xludf.DUMMYFUNCTION("""COMPUTED_VALUE"""),"NOVA")</f>
        <v>NOVA</v>
      </c>
      <c r="G22" s="50">
        <f>IFERROR(__xludf.DUMMYFUNCTION("""COMPUTED_VALUE"""),46174.0)</f>
        <v>46174</v>
      </c>
      <c r="H22" s="47" t="str">
        <f>IFERROR(__xludf.DUMMYFUNCTION("""COMPUTED_VALUE"""),"UN")</f>
        <v>UN</v>
      </c>
      <c r="I22" s="52">
        <f>IFERROR(__xludf.DUMMYFUNCTION("""COMPUTED_VALUE"""),39.0)</f>
        <v>39</v>
      </c>
      <c r="J22" s="48">
        <f>IFERROR(__xludf.DUMMYFUNCTION("""COMPUTED_VALUE"""),1900.0)</f>
        <v>1900</v>
      </c>
      <c r="K22" s="48" t="str">
        <f>IFERROR(__xludf.DUMMYFUNCTION("""COMPUTED_VALUE"""),"CAP QOCBM GUILHERME MARTINELLI SCHULZ, NF 3693864")</f>
        <v>CAP QOCBM GUILHERME MARTINELLI SCHULZ, NF 3693864</v>
      </c>
    </row>
    <row r="23" ht="43.5" customHeight="1">
      <c r="A23" s="40" t="str">
        <f>IFERROR(__xludf.DUMMYFUNCTION("""COMPUTED_VALUE"""),"CBMES")</f>
        <v>CBMES</v>
      </c>
      <c r="B23" s="40" t="str">
        <f>IFERROR(__xludf.DUMMYFUNCTION("""COMPUTED_VALUE"""),"Material de Consumo Geral")</f>
        <v>Material de Consumo Geral</v>
      </c>
      <c r="C23" s="40" t="str">
        <f>IFERROR(__xludf.DUMMYFUNCTION("""COMPUTED_VALUE"""),"3 - OUTRAS DESPESAS CORRENTES")</f>
        <v>3 - OUTRAS DESPESAS CORRENTES</v>
      </c>
      <c r="D23" s="41" t="str">
        <f>IFERROR(__xludf.DUMMYFUNCTION("""COMPUTED_VALUE"""),"MATERIAL BÉLICO")</f>
        <v>MATERIAL BÉLICO</v>
      </c>
      <c r="E23" s="40" t="str">
        <f>IFERROR(__xludf.DUMMYFUNCTION("""COMPUTED_VALUE"""),"RECURSOS DE CAIXA DO TESOURO")</f>
        <v>RECURSOS DE CAIXA DO TESOURO</v>
      </c>
      <c r="F23" s="40" t="str">
        <f>IFERROR(__xludf.DUMMYFUNCTION("""COMPUTED_VALUE"""),"NOVA")</f>
        <v>NOVA</v>
      </c>
      <c r="G23" s="43">
        <f>IFERROR(__xludf.DUMMYFUNCTION("""COMPUTED_VALUE"""),46266.0)</f>
        <v>46266</v>
      </c>
      <c r="H23" s="40" t="str">
        <f>IFERROR(__xludf.DUMMYFUNCTION("""COMPUTED_VALUE"""),"UN")</f>
        <v>UN</v>
      </c>
      <c r="I23" s="45">
        <f>IFERROR(__xludf.DUMMYFUNCTION("""COMPUTED_VALUE"""),323.0)</f>
        <v>323</v>
      </c>
      <c r="J23" s="41">
        <f>IFERROR(__xludf.DUMMYFUNCTION("""COMPUTED_VALUE"""),17724.06)</f>
        <v>17724.06</v>
      </c>
      <c r="K23" s="41" t="str">
        <f>IFERROR(__xludf.DUMMYFUNCTION("""COMPUTED_VALUE"""),"SERVIDORA CIVIL ALESSANDRA SANT´ANNA RUFINO, NF 2956667")</f>
        <v>SERVIDORA CIVIL ALESSANDRA SANT´ANNA RUFINO, NF 2956667</v>
      </c>
    </row>
    <row r="24" ht="43.5" customHeight="1">
      <c r="A24" s="47" t="str">
        <f>IFERROR(__xludf.DUMMYFUNCTION("""COMPUTED_VALUE"""),"CBMES")</f>
        <v>CBMES</v>
      </c>
      <c r="B24" s="47" t="str">
        <f>IFERROR(__xludf.DUMMYFUNCTION("""COMPUTED_VALUE"""),"Material de Copa e Cozinha")</f>
        <v>Material de Copa e Cozinha</v>
      </c>
      <c r="C24" s="47" t="str">
        <f>IFERROR(__xludf.DUMMYFUNCTION("""COMPUTED_VALUE"""),"3 - OUTRAS DESPESAS CORRENTES")</f>
        <v>3 - OUTRAS DESPESAS CORRENTES</v>
      </c>
      <c r="D24" s="48" t="str">
        <f>IFERROR(__xludf.DUMMYFUNCTION("""COMPUTED_VALUE"""),"DGP")</f>
        <v>DGP</v>
      </c>
      <c r="E24" s="47" t="str">
        <f>IFERROR(__xludf.DUMMYFUNCTION("""COMPUTED_VALUE"""),"RECURSOS DE CAIXA DO TESOURO")</f>
        <v>RECURSOS DE CAIXA DO TESOURO</v>
      </c>
      <c r="F24" s="47" t="str">
        <f>IFERROR(__xludf.DUMMYFUNCTION("""COMPUTED_VALUE"""),"NOVA")</f>
        <v>NOVA</v>
      </c>
      <c r="G24" s="50">
        <f>IFERROR(__xludf.DUMMYFUNCTION("""COMPUTED_VALUE"""),46174.0)</f>
        <v>46174</v>
      </c>
      <c r="H24" s="47" t="str">
        <f>IFERROR(__xludf.DUMMYFUNCTION("""COMPUTED_VALUE"""),"UN")</f>
        <v>UN</v>
      </c>
      <c r="I24" s="52">
        <f>IFERROR(__xludf.DUMMYFUNCTION("""COMPUTED_VALUE"""),52.0)</f>
        <v>52</v>
      </c>
      <c r="J24" s="48">
        <f>IFERROR(__xludf.DUMMYFUNCTION("""COMPUTED_VALUE"""),2756.0)</f>
        <v>2756</v>
      </c>
      <c r="K24" s="48" t="str">
        <f>IFERROR(__xludf.DUMMYFUNCTION("""COMPUTED_VALUE"""),"SERVIDORA CIVIL GIULIANE MOREIRA, NF 3031942")</f>
        <v>SERVIDORA CIVIL GIULIANE MOREIRA, NF 3031942</v>
      </c>
    </row>
    <row r="25" ht="43.5" customHeight="1">
      <c r="A25" s="40" t="str">
        <f>IFERROR(__xludf.DUMMYFUNCTION("""COMPUTED_VALUE"""),"CBMES")</f>
        <v>CBMES</v>
      </c>
      <c r="B25" s="40" t="str">
        <f>IFERROR(__xludf.DUMMYFUNCTION("""COMPUTED_VALUE"""),"Material de Expediente")</f>
        <v>Material de Expediente</v>
      </c>
      <c r="C25" s="40" t="str">
        <f>IFERROR(__xludf.DUMMYFUNCTION("""COMPUTED_VALUE"""),"3 - OUTRAS DESPESAS CORRENTES")</f>
        <v>3 - OUTRAS DESPESAS CORRENTES</v>
      </c>
      <c r="D25" s="41" t="str">
        <f>IFERROR(__xludf.DUMMYFUNCTION("""COMPUTED_VALUE"""),"MATERIAL BÉLICO")</f>
        <v>MATERIAL BÉLICO</v>
      </c>
      <c r="E25" s="40" t="str">
        <f>IFERROR(__xludf.DUMMYFUNCTION("""COMPUTED_VALUE"""),"RECURSOS VINCULADOS DO TESOURO")</f>
        <v>RECURSOS VINCULADOS DO TESOURO</v>
      </c>
      <c r="F25" s="40" t="str">
        <f>IFERROR(__xludf.DUMMYFUNCTION("""COMPUTED_VALUE"""),"NOVA")</f>
        <v>NOVA</v>
      </c>
      <c r="G25" s="43">
        <f>IFERROR(__xludf.DUMMYFUNCTION("""COMPUTED_VALUE"""),46266.0)</f>
        <v>46266</v>
      </c>
      <c r="H25" s="40" t="str">
        <f>IFERROR(__xludf.DUMMYFUNCTION("""COMPUTED_VALUE"""),"UN")</f>
        <v>UN</v>
      </c>
      <c r="I25" s="45">
        <f>IFERROR(__xludf.DUMMYFUNCTION("""COMPUTED_VALUE"""),5534.0)</f>
        <v>5534</v>
      </c>
      <c r="J25" s="41">
        <f>IFERROR(__xludf.DUMMYFUNCTION("""COMPUTED_VALUE"""),175416.0)</f>
        <v>175416</v>
      </c>
      <c r="K25" s="41" t="str">
        <f>IFERROR(__xludf.DUMMYFUNCTION("""COMPUTED_VALUE"""),"SERVIDORA CIVIL ALESSANDRA SANT´ANNA RUFINO, NF 2956667")</f>
        <v>SERVIDORA CIVIL ALESSANDRA SANT´ANNA RUFINO, NF 2956667</v>
      </c>
    </row>
    <row r="26" ht="43.5" customHeight="1">
      <c r="A26" s="47" t="str">
        <f>IFERROR(__xludf.DUMMYFUNCTION("""COMPUTED_VALUE"""),"CBMES")</f>
        <v>CBMES</v>
      </c>
      <c r="B26" s="47" t="str">
        <f>IFERROR(__xludf.DUMMYFUNCTION("""COMPUTED_VALUE"""),"Material de Limpeza e Produção de Higienização")</f>
        <v>Material de Limpeza e Produção de Higienização</v>
      </c>
      <c r="C26" s="47" t="str">
        <f>IFERROR(__xludf.DUMMYFUNCTION("""COMPUTED_VALUE"""),"3 - OUTRAS DESPESAS CORRENTES")</f>
        <v>3 - OUTRAS DESPESAS CORRENTES</v>
      </c>
      <c r="D26" s="48" t="str">
        <f>IFERROR(__xludf.DUMMYFUNCTION("""COMPUTED_VALUE"""),"DGP")</f>
        <v>DGP</v>
      </c>
      <c r="E26" s="47" t="str">
        <f>IFERROR(__xludf.DUMMYFUNCTION("""COMPUTED_VALUE"""),"RECURSOS DE CAIXA DO TESOURO")</f>
        <v>RECURSOS DE CAIXA DO TESOURO</v>
      </c>
      <c r="F26" s="47" t="str">
        <f>IFERROR(__xludf.DUMMYFUNCTION("""COMPUTED_VALUE"""),"NOVA")</f>
        <v>NOVA</v>
      </c>
      <c r="G26" s="50">
        <f>IFERROR(__xludf.DUMMYFUNCTION("""COMPUTED_VALUE"""),46174.0)</f>
        <v>46174</v>
      </c>
      <c r="H26" s="47" t="str">
        <f>IFERROR(__xludf.DUMMYFUNCTION("""COMPUTED_VALUE"""),"galões 05 litros")</f>
        <v>galões 05 litros</v>
      </c>
      <c r="I26" s="52">
        <f>IFERROR(__xludf.DUMMYFUNCTION("""COMPUTED_VALUE"""),15.0)</f>
        <v>15</v>
      </c>
      <c r="J26" s="48">
        <f>IFERROR(__xludf.DUMMYFUNCTION("""COMPUTED_VALUE"""),850.0)</f>
        <v>850</v>
      </c>
      <c r="K26" s="48" t="str">
        <f>IFERROR(__xludf.DUMMYFUNCTION("""COMPUTED_VALUE"""),"2º TEN QOABM SONALY WESLENY DE FÁTIMA DA SILVA RIBEIRO, NF 903842")</f>
        <v>2º TEN QOABM SONALY WESLENY DE FÁTIMA DA SILVA RIBEIRO, NF 903842</v>
      </c>
    </row>
    <row r="27" ht="43.5" customHeight="1">
      <c r="A27" s="40" t="str">
        <f>IFERROR(__xludf.DUMMYFUNCTION("""COMPUTED_VALUE"""),"CBMES")</f>
        <v>CBMES</v>
      </c>
      <c r="B27" s="40" t="str">
        <f>IFERROR(__xludf.DUMMYFUNCTION("""COMPUTED_VALUE"""),"Material de Proteção e Segurança")</f>
        <v>Material de Proteção e Segurança</v>
      </c>
      <c r="C27" s="40" t="str">
        <f>IFERROR(__xludf.DUMMYFUNCTION("""COMPUTED_VALUE"""),"3 - OUTRAS DESPESAS CORRENTES")</f>
        <v>3 - OUTRAS DESPESAS CORRENTES</v>
      </c>
      <c r="D27" s="41" t="str">
        <f>IFERROR(__xludf.DUMMYFUNCTION("""COMPUTED_VALUE"""),"CEIB")</f>
        <v>CEIB</v>
      </c>
      <c r="E27" s="40" t="str">
        <f>IFERROR(__xludf.DUMMYFUNCTION("""COMPUTED_VALUE"""),"RECURSOS VINCULADOS DO TESOURO")</f>
        <v>RECURSOS VINCULADOS DO TESOURO</v>
      </c>
      <c r="F27" s="40" t="str">
        <f>IFERROR(__xludf.DUMMYFUNCTION("""COMPUTED_VALUE"""),"NOVA")</f>
        <v>NOVA</v>
      </c>
      <c r="G27" s="43">
        <f>IFERROR(__xludf.DUMMYFUNCTION("""COMPUTED_VALUE"""),46235.0)</f>
        <v>46235</v>
      </c>
      <c r="H27" s="40" t="str">
        <f>IFERROR(__xludf.DUMMYFUNCTION("""COMPUTED_VALUE"""),"UN")</f>
        <v>UN</v>
      </c>
      <c r="I27" s="45">
        <f>IFERROR(__xludf.DUMMYFUNCTION("""COMPUTED_VALUE"""),696.0)</f>
        <v>696</v>
      </c>
      <c r="J27" s="41">
        <f>IFERROR(__xludf.DUMMYFUNCTION("""COMPUTED_VALUE"""),239053.0)</f>
        <v>239053</v>
      </c>
      <c r="K27" s="41" t="str">
        <f>IFERROR(__xludf.DUMMYFUNCTION("""COMPUTED_VALUE"""),"SERVIDORA CIVIL GIULIANE MOREIRA, NF 3031942")</f>
        <v>SERVIDORA CIVIL GIULIANE MOREIRA, NF 3031942</v>
      </c>
    </row>
    <row r="28" ht="43.5" customHeight="1">
      <c r="A28" s="47" t="str">
        <f>IFERROR(__xludf.DUMMYFUNCTION("""COMPUTED_VALUE"""),"CBMES")</f>
        <v>CBMES</v>
      </c>
      <c r="B28" s="47" t="str">
        <f>IFERROR(__xludf.DUMMYFUNCTION("""COMPUTED_VALUE"""),"Serviços Médico-Hospitalares, Odontológicos e Laboratoriais")</f>
        <v>Serviços Médico-Hospitalares, Odontológicos e Laboratoriais</v>
      </c>
      <c r="C28" s="47" t="str">
        <f>IFERROR(__xludf.DUMMYFUNCTION("""COMPUTED_VALUE"""),"3 - OUTRAS DESPESAS CORRENTES")</f>
        <v>3 - OUTRAS DESPESAS CORRENTES</v>
      </c>
      <c r="D28" s="48" t="str">
        <f>IFERROR(__xludf.DUMMYFUNCTION("""COMPUTED_VALUE"""),"CEIB")</f>
        <v>CEIB</v>
      </c>
      <c r="E28" s="47" t="str">
        <f>IFERROR(__xludf.DUMMYFUNCTION("""COMPUTED_VALUE"""),"RECURSOS DE CAIXA DO TESOURO")</f>
        <v>RECURSOS DE CAIXA DO TESOURO</v>
      </c>
      <c r="F28" s="47" t="str">
        <f>IFERROR(__xludf.DUMMYFUNCTION("""COMPUTED_VALUE"""),"NOVA")</f>
        <v>NOVA</v>
      </c>
      <c r="G28" s="50">
        <f>IFERROR(__xludf.DUMMYFUNCTION("""COMPUTED_VALUE"""),46235.0)</f>
        <v>46235</v>
      </c>
      <c r="H28" s="47" t="str">
        <f>IFERROR(__xludf.DUMMYFUNCTION("""COMPUTED_VALUE"""),"UN")</f>
        <v>UN</v>
      </c>
      <c r="I28" s="52">
        <f>IFERROR(__xludf.DUMMYFUNCTION("""COMPUTED_VALUE"""),303.0)</f>
        <v>303</v>
      </c>
      <c r="J28" s="48">
        <f>IFERROR(__xludf.DUMMYFUNCTION("""COMPUTED_VALUE"""),44163.0)</f>
        <v>44163</v>
      </c>
      <c r="K28" s="48" t="str">
        <f>IFERROR(__xludf.DUMMYFUNCTION("""COMPUTED_VALUE"""),"SERVIDORA CIVIL GIULIANE MOREIRA, NF 3031942")</f>
        <v>SERVIDORA CIVIL GIULIANE MOREIRA, NF 3031942</v>
      </c>
    </row>
    <row r="29" ht="43.5" customHeight="1">
      <c r="A29" s="40" t="str">
        <f>IFERROR(__xludf.DUMMYFUNCTION("""COMPUTED_VALUE"""),"CBMES")</f>
        <v>CBMES</v>
      </c>
      <c r="B29" s="40" t="str">
        <f>IFERROR(__xludf.DUMMYFUNCTION("""COMPUTED_VALUE"""),"Serviços Técnicos Profissionais")</f>
        <v>Serviços Técnicos Profissionais</v>
      </c>
      <c r="C29" s="40" t="str">
        <f>IFERROR(__xludf.DUMMYFUNCTION("""COMPUTED_VALUE"""),"3 - OUTRAS DESPESAS CORRENTES")</f>
        <v>3 - OUTRAS DESPESAS CORRENTES</v>
      </c>
      <c r="D29" s="41" t="str">
        <f>IFERROR(__xludf.DUMMYFUNCTION("""COMPUTED_VALUE"""),"DGP")</f>
        <v>DGP</v>
      </c>
      <c r="E29" s="40" t="str">
        <f>IFERROR(__xludf.DUMMYFUNCTION("""COMPUTED_VALUE"""),"RECURSOS DE CAIXA DO TESOURO")</f>
        <v>RECURSOS DE CAIXA DO TESOURO</v>
      </c>
      <c r="F29" s="40" t="str">
        <f>IFERROR(__xludf.DUMMYFUNCTION("""COMPUTED_VALUE"""),"NOVA")</f>
        <v>NOVA</v>
      </c>
      <c r="G29" s="43">
        <f>IFERROR(__xludf.DUMMYFUNCTION("""COMPUTED_VALUE"""),46056.0)</f>
        <v>46056</v>
      </c>
      <c r="H29" s="40" t="str">
        <f>IFERROR(__xludf.DUMMYFUNCTION("""COMPUTED_VALUE"""),"UN")</f>
        <v>UN</v>
      </c>
      <c r="I29" s="45">
        <f>IFERROR(__xludf.DUMMYFUNCTION("""COMPUTED_VALUE"""),1.0)</f>
        <v>1</v>
      </c>
      <c r="J29" s="41">
        <f>IFERROR(__xludf.DUMMYFUNCTION("""COMPUTED_VALUE"""),34000.0)</f>
        <v>34000</v>
      </c>
      <c r="K29" s="41" t="str">
        <f>IFERROR(__xludf.DUMMYFUNCTION("""COMPUTED_VALUE"""),"CAP QOCBM GUILHERME MARTINELLI SCHULZ, NF 3693864")</f>
        <v>CAP QOCBM GUILHERME MARTINELLI SCHULZ, NF 3693864</v>
      </c>
    </row>
    <row r="30" ht="43.5" customHeight="1">
      <c r="A30" s="47" t="str">
        <f>IFERROR(__xludf.DUMMYFUNCTION("""COMPUTED_VALUE"""),"CBMES")</f>
        <v>CBMES</v>
      </c>
      <c r="B30" s="47" t="str">
        <f>IFERROR(__xludf.DUMMYFUNCTION("""COMPUTED_VALUE"""),"Serviços de Comunicação em Geral")</f>
        <v>Serviços de Comunicação em Geral</v>
      </c>
      <c r="C30" s="47" t="str">
        <f>IFERROR(__xludf.DUMMYFUNCTION("""COMPUTED_VALUE"""),"3 - OUTRAS DESPESAS CORRENTES")</f>
        <v>3 - OUTRAS DESPESAS CORRENTES</v>
      </c>
      <c r="D30" s="48" t="str">
        <f>IFERROR(__xludf.DUMMYFUNCTION("""COMPUTED_VALUE"""),"SCC")</f>
        <v>SCC</v>
      </c>
      <c r="E30" s="47" t="str">
        <f>IFERROR(__xludf.DUMMYFUNCTION("""COMPUTED_VALUE"""),"RECURSOS DE CAIXA DO TESOURO")</f>
        <v>RECURSOS DE CAIXA DO TESOURO</v>
      </c>
      <c r="F30" s="47" t="str">
        <f>IFERROR(__xludf.DUMMYFUNCTION("""COMPUTED_VALUE"""),"EXISTENTE A SER RENOVADA")</f>
        <v>EXISTENTE A SER RENOVADA</v>
      </c>
      <c r="G30" s="50">
        <f>IFERROR(__xludf.DUMMYFUNCTION("""COMPUTED_VALUE"""),46266.0)</f>
        <v>46266</v>
      </c>
      <c r="H30" s="47" t="str">
        <f>IFERROR(__xludf.DUMMYFUNCTION("""COMPUTED_VALUE"""),"UN")</f>
        <v>UN</v>
      </c>
      <c r="I30" s="52">
        <f>IFERROR(__xludf.DUMMYFUNCTION("""COMPUTED_VALUE"""),1.0)</f>
        <v>1</v>
      </c>
      <c r="J30" s="48">
        <f>IFERROR(__xludf.DUMMYFUNCTION("""COMPUTED_VALUE"""),80000.0)</f>
        <v>80000</v>
      </c>
      <c r="K30" s="48" t="str">
        <f>IFERROR(__xludf.DUMMYFUNCTION("""COMPUTED_VALUE"""),"CAP QOABM GIOVANI SOARES BONELA, NF 643066 / CB BM LEHI NAZARETH DA COSTA, NF 2778637")</f>
        <v>CAP QOABM GIOVANI SOARES BONELA, NF 643066 / CB BM LEHI NAZARETH DA COSTA, NF 2778637</v>
      </c>
    </row>
    <row r="31" ht="43.5" customHeight="1">
      <c r="A31" s="40" t="str">
        <f>IFERROR(__xludf.DUMMYFUNCTION("""COMPUTED_VALUE"""),"CBMES")</f>
        <v>CBMES</v>
      </c>
      <c r="B31" s="40" t="str">
        <f>IFERROR(__xludf.DUMMYFUNCTION("""COMPUTED_VALUE"""),"TI: Locações de Softwares")</f>
        <v>TI: Locações de Softwares</v>
      </c>
      <c r="C31" s="40" t="str">
        <f>IFERROR(__xludf.DUMMYFUNCTION("""COMPUTED_VALUE"""),"3 - OUTRAS DESPESAS CORRENTES")</f>
        <v>3 - OUTRAS DESPESAS CORRENTES</v>
      </c>
      <c r="D31" s="41" t="str">
        <f>IFERROR(__xludf.DUMMYFUNCTION("""COMPUTED_VALUE"""),"GPC")</f>
        <v>GPC</v>
      </c>
      <c r="E31" s="40" t="str">
        <f>IFERROR(__xludf.DUMMYFUNCTION("""COMPUTED_VALUE"""),"RECURSOS DE CAIXA DO TESOURO")</f>
        <v>RECURSOS DE CAIXA DO TESOURO</v>
      </c>
      <c r="F31" s="40" t="str">
        <f>IFERROR(__xludf.DUMMYFUNCTION("""COMPUTED_VALUE"""),"NOVA")</f>
        <v>NOVA</v>
      </c>
      <c r="G31" s="43">
        <f>IFERROR(__xludf.DUMMYFUNCTION("""COMPUTED_VALUE"""),46235.0)</f>
        <v>46235</v>
      </c>
      <c r="H31" s="40" t="str">
        <f>IFERROR(__xludf.DUMMYFUNCTION("""COMPUTED_VALUE"""),"UN")</f>
        <v>UN</v>
      </c>
      <c r="I31" s="45">
        <f>IFERROR(__xludf.DUMMYFUNCTION("""COMPUTED_VALUE"""),1.0)</f>
        <v>1</v>
      </c>
      <c r="J31" s="41">
        <f>IFERROR(__xludf.DUMMYFUNCTION("""COMPUTED_VALUE"""),15000.0)</f>
        <v>15000</v>
      </c>
      <c r="K31" s="41" t="str">
        <f>IFERROR(__xludf.DUMMYFUNCTION("""COMPUTED_VALUE"""),"2º TEN QOABM SONALY WESLENY DE FÁTIMA DA SILVA RIBEIRO, NF 903842")</f>
        <v>2º TEN QOABM SONALY WESLENY DE FÁTIMA DA SILVA RIBEIRO, NF 903842</v>
      </c>
    </row>
    <row r="32" ht="43.5" customHeight="1">
      <c r="A32" s="47" t="str">
        <f>IFERROR(__xludf.DUMMYFUNCTION("""COMPUTED_VALUE"""),"CEPDEC")</f>
        <v>CEPDEC</v>
      </c>
      <c r="B32" s="47" t="str">
        <f>IFERROR(__xludf.DUMMYFUNCTION("""COMPUTED_VALUE"""),"CONTRAPARTIDA DO CERD")</f>
        <v>CONTRAPARTIDA DO CERD</v>
      </c>
      <c r="C32" s="47" t="str">
        <f>IFERROR(__xludf.DUMMYFUNCTION("""COMPUTED_VALUE"""),"4 - INVESTIMENTOS")</f>
        <v>4 - INVESTIMENTOS</v>
      </c>
      <c r="D32" s="48" t="str">
        <f>IFERROR(__xludf.DUMMYFUNCTION("""COMPUTED_VALUE"""),"AGUAS E PAISAGENS II")</f>
        <v>AGUAS E PAISAGENS II</v>
      </c>
      <c r="E32" s="47" t="str">
        <f>IFERROR(__xludf.DUMMYFUNCTION("""COMPUTED_VALUE"""),"RECURSOS DE CAIXA DO TESOURO")</f>
        <v>RECURSOS DE CAIXA DO TESOURO</v>
      </c>
      <c r="F32" s="47" t="str">
        <f>IFERROR(__xludf.DUMMYFUNCTION("""COMPUTED_VALUE"""),"NOVA")</f>
        <v>NOVA</v>
      </c>
      <c r="G32" s="50">
        <f>IFERROR(__xludf.DUMMYFUNCTION("""COMPUTED_VALUE"""),46235.0)</f>
        <v>46235</v>
      </c>
      <c r="H32" s="47" t="str">
        <f>IFERROR(__xludf.DUMMYFUNCTION("""COMPUTED_VALUE"""),"UN")</f>
        <v>UN</v>
      </c>
      <c r="I32" s="52">
        <f>IFERROR(__xludf.DUMMYFUNCTION("""COMPUTED_VALUE"""),1.0)</f>
        <v>1</v>
      </c>
      <c r="J32" s="48">
        <f>IFERROR(__xludf.DUMMYFUNCTION("""COMPUTED_VALUE"""),1.1893984E7)</f>
        <v>11893984</v>
      </c>
      <c r="K32" s="48" t="str">
        <f>IFERROR(__xludf.DUMMYFUNCTION("""COMPUTED_VALUE"""),"ELIZANE MARIA CARNEIRO JUBINI, NF 4386329")</f>
        <v>ELIZANE MARIA CARNEIRO JUBINI, NF 4386329</v>
      </c>
    </row>
    <row r="33" ht="43.5" customHeight="1">
      <c r="A33" s="40" t="str">
        <f>IFERROR(__xludf.DUMMYFUNCTION("""COMPUTED_VALUE"""),"CEPDEC")</f>
        <v>CEPDEC</v>
      </c>
      <c r="B33" s="40" t="str">
        <f>IFERROR(__xludf.DUMMYFUNCTION("""COMPUTED_VALUE"""),"Cursos e Diárias")</f>
        <v>Cursos e Diárias</v>
      </c>
      <c r="C33" s="40" t="str">
        <f>IFERROR(__xludf.DUMMYFUNCTION("""COMPUTED_VALUE"""),"3 - OUTRAS DESPESAS CORRENTES")</f>
        <v>3 - OUTRAS DESPESAS CORRENTES</v>
      </c>
      <c r="D33" s="41" t="str">
        <f>IFERROR(__xludf.DUMMYFUNCTION("""COMPUTED_VALUE"""),"CEPDEC")</f>
        <v>CEPDEC</v>
      </c>
      <c r="E33" s="40" t="str">
        <f>IFERROR(__xludf.DUMMYFUNCTION("""COMPUTED_VALUE"""),"RECURSOS DE CAIXA DO TESOURO")</f>
        <v>RECURSOS DE CAIXA DO TESOURO</v>
      </c>
      <c r="F33" s="40" t="str">
        <f>IFERROR(__xludf.DUMMYFUNCTION("""COMPUTED_VALUE"""),"NOVA")</f>
        <v>NOVA</v>
      </c>
      <c r="G33" s="43">
        <f>IFERROR(__xludf.DUMMYFUNCTION("""COMPUTED_VALUE"""),46235.0)</f>
        <v>46235</v>
      </c>
      <c r="H33" s="40" t="str">
        <f>IFERROR(__xludf.DUMMYFUNCTION("""COMPUTED_VALUE"""),"UN")</f>
        <v>UN</v>
      </c>
      <c r="I33" s="45">
        <f>IFERROR(__xludf.DUMMYFUNCTION("""COMPUTED_VALUE"""),2.0)</f>
        <v>2</v>
      </c>
      <c r="J33" s="41">
        <f>IFERROR(__xludf.DUMMYFUNCTION("""COMPUTED_VALUE"""),31372.0)</f>
        <v>31372</v>
      </c>
      <c r="K33" s="41" t="str">
        <f>IFERROR(__xludf.DUMMYFUNCTION("""COMPUTED_VALUE"""),"SERVIDORA CIVIL GIULIANE MOREIRA, NF 3031942")</f>
        <v>SERVIDORA CIVIL GIULIANE MOREIRA, NF 3031942</v>
      </c>
    </row>
    <row r="34" ht="43.5" customHeight="1">
      <c r="A34" s="47" t="str">
        <f>IFERROR(__xludf.DUMMYFUNCTION("""COMPUTED_VALUE"""),"CEPDEC")</f>
        <v>CEPDEC</v>
      </c>
      <c r="B34" s="47" t="str">
        <f>IFERROR(__xludf.DUMMYFUNCTION("""COMPUTED_VALUE"""),"Edificações")</f>
        <v>Edificações</v>
      </c>
      <c r="C34" s="47" t="str">
        <f>IFERROR(__xludf.DUMMYFUNCTION("""COMPUTED_VALUE"""),"4 - INVESTIMENTOS")</f>
        <v>4 - INVESTIMENTOS</v>
      </c>
      <c r="D34" s="48" t="str">
        <f>IFERROR(__xludf.DUMMYFUNCTION("""COMPUTED_VALUE"""),"AGUAS E PAISAGENS II")</f>
        <v>AGUAS E PAISAGENS II</v>
      </c>
      <c r="E34" s="47" t="str">
        <f>IFERROR(__xludf.DUMMYFUNCTION("""COMPUTED_VALUE"""),"RECURSOS DO ORÇAMENTO DE INVESTIMENTO")</f>
        <v>RECURSOS DO ORÇAMENTO DE INVESTIMENTO</v>
      </c>
      <c r="F34" s="47" t="str">
        <f>IFERROR(__xludf.DUMMYFUNCTION("""COMPUTED_VALUE"""),"NOVA")</f>
        <v>NOVA</v>
      </c>
      <c r="G34" s="50">
        <f>IFERROR(__xludf.DUMMYFUNCTION("""COMPUTED_VALUE"""),46235.0)</f>
        <v>46235</v>
      </c>
      <c r="H34" s="47" t="str">
        <f>IFERROR(__xludf.DUMMYFUNCTION("""COMPUTED_VALUE"""),"UN")</f>
        <v>UN</v>
      </c>
      <c r="I34" s="52">
        <f>IFERROR(__xludf.DUMMYFUNCTION("""COMPUTED_VALUE"""),1.0)</f>
        <v>1</v>
      </c>
      <c r="J34" s="48">
        <f>IFERROR(__xludf.DUMMYFUNCTION("""COMPUTED_VALUE"""),2.0005183E7)</f>
        <v>20005183</v>
      </c>
      <c r="K34" s="48" t="str">
        <f>IFERROR(__xludf.DUMMYFUNCTION("""COMPUTED_VALUE"""),"ELIZANE MARIA CARNEIRO JUBINI, NF 4386329")</f>
        <v>ELIZANE MARIA CARNEIRO JUBINI, NF 4386329</v>
      </c>
    </row>
    <row r="35" ht="43.5" customHeight="1">
      <c r="A35" s="40" t="str">
        <f>IFERROR(__xludf.DUMMYFUNCTION("""COMPUTED_VALUE"""),"FUNPDEC")</f>
        <v>FUNPDEC</v>
      </c>
      <c r="B35" s="40" t="str">
        <f>IFERROR(__xludf.DUMMYFUNCTION("""COMPUTED_VALUE"""),"Ajudas humanitarias")</f>
        <v>Ajudas humanitarias</v>
      </c>
      <c r="C35" s="40" t="str">
        <f>IFERROR(__xludf.DUMMYFUNCTION("""COMPUTED_VALUE"""),"3 - OUTRAS DESPESAS CORRENTES")</f>
        <v>3 - OUTRAS DESPESAS CORRENTES</v>
      </c>
      <c r="D35" s="41" t="str">
        <f>IFERROR(__xludf.DUMMYFUNCTION("""COMPUTED_VALUE"""),"CEPDEC")</f>
        <v>CEPDEC</v>
      </c>
      <c r="E35" s="40" t="str">
        <f>IFERROR(__xludf.DUMMYFUNCTION("""COMPUTED_VALUE"""),"RECURSOS VINCULADOS DO TESOURO")</f>
        <v>RECURSOS VINCULADOS DO TESOURO</v>
      </c>
      <c r="F35" s="40" t="str">
        <f>IFERROR(__xludf.DUMMYFUNCTION("""COMPUTED_VALUE"""),"EXISTENTE A SER RENOVADA")</f>
        <v>EXISTENTE A SER RENOVADA</v>
      </c>
      <c r="G35" s="43">
        <f>IFERROR(__xludf.DUMMYFUNCTION("""COMPUTED_VALUE"""),46266.0)</f>
        <v>46266</v>
      </c>
      <c r="H35" s="40" t="str">
        <f>IFERROR(__xludf.DUMMYFUNCTION("""COMPUTED_VALUE"""),"UN")</f>
        <v>UN</v>
      </c>
      <c r="I35" s="45">
        <f>IFERROR(__xludf.DUMMYFUNCTION("""COMPUTED_VALUE"""),5000.0)</f>
        <v>5000</v>
      </c>
      <c r="J35" s="41">
        <f>IFERROR(__xludf.DUMMYFUNCTION("""COMPUTED_VALUE"""),225000.0)</f>
        <v>225000</v>
      </c>
      <c r="K35" s="41" t="str">
        <f>IFERROR(__xludf.DUMMYFUNCTION("""COMPUTED_VALUE"""),"SERVIDORA CIVIL ALESSANDRA SANT´ANNA RUFINO, NF 2956667")</f>
        <v>SERVIDORA CIVIL ALESSANDRA SANT´ANNA RUFINO, NF 2956667</v>
      </c>
    </row>
    <row r="36" ht="43.5" customHeight="1">
      <c r="A36" s="47" t="str">
        <f>IFERROR(__xludf.DUMMYFUNCTION("""COMPUTED_VALUE"""),"FUNPDEC")</f>
        <v>FUNPDEC</v>
      </c>
      <c r="B36" s="47" t="str">
        <f>IFERROR(__xludf.DUMMYFUNCTION("""COMPUTED_VALUE"""),"Aparelhos de Medição e Orientação")</f>
        <v>Aparelhos de Medição e Orientação</v>
      </c>
      <c r="C36" s="47" t="str">
        <f>IFERROR(__xludf.DUMMYFUNCTION("""COMPUTED_VALUE"""),"4 - INVESTIMENTOS")</f>
        <v>4 - INVESTIMENTOS</v>
      </c>
      <c r="D36" s="48" t="str">
        <f>IFERROR(__xludf.DUMMYFUNCTION("""COMPUTED_VALUE"""),"CEIB")</f>
        <v>CEIB</v>
      </c>
      <c r="E36" s="47" t="str">
        <f>IFERROR(__xludf.DUMMYFUNCTION("""COMPUTED_VALUE"""),"RECURSOS VINCULADOS DO TESOURO")</f>
        <v>RECURSOS VINCULADOS DO TESOURO</v>
      </c>
      <c r="F36" s="47" t="str">
        <f>IFERROR(__xludf.DUMMYFUNCTION("""COMPUTED_VALUE"""),"NOVA")</f>
        <v>NOVA</v>
      </c>
      <c r="G36" s="50">
        <f>IFERROR(__xludf.DUMMYFUNCTION("""COMPUTED_VALUE"""),46266.0)</f>
        <v>46266</v>
      </c>
      <c r="H36" s="47" t="str">
        <f>IFERROR(__xludf.DUMMYFUNCTION("""COMPUTED_VALUE"""),"UN")</f>
        <v>UN</v>
      </c>
      <c r="I36" s="52">
        <f>IFERROR(__xludf.DUMMYFUNCTION("""COMPUTED_VALUE"""),15.0)</f>
        <v>15</v>
      </c>
      <c r="J36" s="48">
        <f>IFERROR(__xludf.DUMMYFUNCTION("""COMPUTED_VALUE"""),72000.0)</f>
        <v>72000</v>
      </c>
      <c r="K36" s="48" t="str">
        <f>IFERROR(__xludf.DUMMYFUNCTION("""COMPUTED_VALUE"""),"SERVIDORA CIVIL GIULIANE MOREIRA, NF 3031942")</f>
        <v>SERVIDORA CIVIL GIULIANE MOREIRA, NF 3031942</v>
      </c>
    </row>
    <row r="37" ht="43.5" customHeight="1">
      <c r="A37" s="40" t="str">
        <f>IFERROR(__xludf.DUMMYFUNCTION("""COMPUTED_VALUE"""),"FUNPDEC")</f>
        <v>FUNPDEC</v>
      </c>
      <c r="B37" s="40" t="str">
        <f>IFERROR(__xludf.DUMMYFUNCTION("""COMPUTED_VALUE"""),"Aquisição de Frota para a CEPDEC")</f>
        <v>Aquisição de Frota para a CEPDEC</v>
      </c>
      <c r="C37" s="40" t="str">
        <f>IFERROR(__xludf.DUMMYFUNCTION("""COMPUTED_VALUE"""),"4 - INVESTIMENTOS")</f>
        <v>4 - INVESTIMENTOS</v>
      </c>
      <c r="D37" s="41" t="str">
        <f>IFERROR(__xludf.DUMMYFUNCTION("""COMPUTED_VALUE"""),"CEPDEC")</f>
        <v>CEPDEC</v>
      </c>
      <c r="E37" s="40" t="str">
        <f>IFERROR(__xludf.DUMMYFUNCTION("""COMPUTED_VALUE"""),"RECURSOS VINCULADOS DO TESOURO")</f>
        <v>RECURSOS VINCULADOS DO TESOURO</v>
      </c>
      <c r="F37" s="40" t="str">
        <f>IFERROR(__xludf.DUMMYFUNCTION("""COMPUTED_VALUE"""),"NOVA")</f>
        <v>NOVA</v>
      </c>
      <c r="G37" s="43">
        <f>IFERROR(__xludf.DUMMYFUNCTION("""COMPUTED_VALUE"""),46266.0)</f>
        <v>46266</v>
      </c>
      <c r="H37" s="40" t="str">
        <f>IFERROR(__xludf.DUMMYFUNCTION("""COMPUTED_VALUE"""),"UN")</f>
        <v>UN</v>
      </c>
      <c r="I37" s="45">
        <f>IFERROR(__xludf.DUMMYFUNCTION("""COMPUTED_VALUE"""),1.0)</f>
        <v>1</v>
      </c>
      <c r="J37" s="41">
        <f>IFERROR(__xludf.DUMMYFUNCTION("""COMPUTED_VALUE"""),1257000.0)</f>
        <v>1257000</v>
      </c>
      <c r="K37" s="41" t="str">
        <f>IFERROR(__xludf.DUMMYFUNCTION("""COMPUTED_VALUE"""),"MAJ QOCBM MARCIO DA COSTA CAVACHINI, NF 2758512")</f>
        <v>MAJ QOCBM MARCIO DA COSTA CAVACHINI, NF 2758512</v>
      </c>
    </row>
    <row r="38" ht="43.5" customHeight="1">
      <c r="A38" s="47" t="str">
        <f>IFERROR(__xludf.DUMMYFUNCTION("""COMPUTED_VALUE"""),"FUNPDEC")</f>
        <v>FUNPDEC</v>
      </c>
      <c r="B38" s="47" t="str">
        <f>IFERROR(__xludf.DUMMYFUNCTION("""COMPUTED_VALUE"""),"BANCO DE PREÇO")</f>
        <v>BANCO DE PREÇO</v>
      </c>
      <c r="C38" s="47" t="str">
        <f>IFERROR(__xludf.DUMMYFUNCTION("""COMPUTED_VALUE"""),"3 - OUTRAS DESPESAS CORRENTES")</f>
        <v>3 - OUTRAS DESPESAS CORRENTES</v>
      </c>
      <c r="D38" s="48" t="str">
        <f>IFERROR(__xludf.DUMMYFUNCTION("""COMPUTED_VALUE"""),"CEPDEC")</f>
        <v>CEPDEC</v>
      </c>
      <c r="E38" s="47" t="str">
        <f>IFERROR(__xludf.DUMMYFUNCTION("""COMPUTED_VALUE"""),"RECURSOS DE CAIXA DO TESOURO")</f>
        <v>RECURSOS DE CAIXA DO TESOURO</v>
      </c>
      <c r="F38" s="47" t="str">
        <f>IFERROR(__xludf.DUMMYFUNCTION("""COMPUTED_VALUE"""),"NOVA")</f>
        <v>NOVA</v>
      </c>
      <c r="G38" s="50">
        <f>IFERROR(__xludf.DUMMYFUNCTION("""COMPUTED_VALUE"""),46174.0)</f>
        <v>46174</v>
      </c>
      <c r="H38" s="47" t="str">
        <f>IFERROR(__xludf.DUMMYFUNCTION("""COMPUTED_VALUE"""),"UN")</f>
        <v>UN</v>
      </c>
      <c r="I38" s="52">
        <f>IFERROR(__xludf.DUMMYFUNCTION("""COMPUTED_VALUE"""),1.0)</f>
        <v>1</v>
      </c>
      <c r="J38" s="48">
        <f>IFERROR(__xludf.DUMMYFUNCTION("""COMPUTED_VALUE"""),20000.0)</f>
        <v>20000</v>
      </c>
      <c r="K38" s="48" t="str">
        <f>IFERROR(__xludf.DUMMYFUNCTION("""COMPUTED_VALUE"""),"MAJ QOCBM MARCIO DA COSTA CAVACHINI, NF 2758512")</f>
        <v>MAJ QOCBM MARCIO DA COSTA CAVACHINI, NF 2758512</v>
      </c>
    </row>
    <row r="39" ht="43.5" customHeight="1">
      <c r="A39" s="40" t="str">
        <f>IFERROR(__xludf.DUMMYFUNCTION("""COMPUTED_VALUE"""),"FUNPDEC")</f>
        <v>FUNPDEC</v>
      </c>
      <c r="B39" s="40" t="str">
        <f>IFERROR(__xludf.DUMMYFUNCTION("""COMPUTED_VALUE"""),"Contrato de Service Desk")</f>
        <v>Contrato de Service Desk</v>
      </c>
      <c r="C39" s="40" t="str">
        <f>IFERROR(__xludf.DUMMYFUNCTION("""COMPUTED_VALUE"""),"3 - OUTRAS DESPESAS CORRENTES")</f>
        <v>3 - OUTRAS DESPESAS CORRENTES</v>
      </c>
      <c r="D39" s="41" t="str">
        <f>IFERROR(__xludf.DUMMYFUNCTION("""COMPUTED_VALUE"""),"GTI 2026")</f>
        <v>GTI 2026</v>
      </c>
      <c r="E39" s="40" t="str">
        <f>IFERROR(__xludf.DUMMYFUNCTION("""COMPUTED_VALUE"""),"RECURSOS VINCULADOS DO TESOURO")</f>
        <v>RECURSOS VINCULADOS DO TESOURO</v>
      </c>
      <c r="F39" s="40" t="str">
        <f>IFERROR(__xludf.DUMMYFUNCTION("""COMPUTED_VALUE"""),"EXISTENTE A SER RENOVADA")</f>
        <v>EXISTENTE A SER RENOVADA</v>
      </c>
      <c r="G39" s="43">
        <f>IFERROR(__xludf.DUMMYFUNCTION("""COMPUTED_VALUE"""),46266.0)</f>
        <v>46266</v>
      </c>
      <c r="H39" s="40" t="str">
        <f>IFERROR(__xludf.DUMMYFUNCTION("""COMPUTED_VALUE"""),"MÊS")</f>
        <v>MÊS</v>
      </c>
      <c r="I39" s="45">
        <f>IFERROR(__xludf.DUMMYFUNCTION("""COMPUTED_VALUE"""),12.0)</f>
        <v>12</v>
      </c>
      <c r="J39" s="41">
        <f>IFERROR(__xludf.DUMMYFUNCTION("""COMPUTED_VALUE"""),600000.0)</f>
        <v>600000</v>
      </c>
      <c r="K39" s="41" t="str">
        <f>IFERROR(__xludf.DUMMYFUNCTION("""COMPUTED_VALUE"""),"MAJ QOCBM MARCIO DA COSTA CAVACHINI, NF 2758512")</f>
        <v>MAJ QOCBM MARCIO DA COSTA CAVACHINI, NF 2758512</v>
      </c>
    </row>
    <row r="40" ht="43.5" customHeight="1">
      <c r="A40" s="47" t="str">
        <f>IFERROR(__xludf.DUMMYFUNCTION("""COMPUTED_VALUE"""),"FUNPDEC")</f>
        <v>FUNPDEC</v>
      </c>
      <c r="B40" s="47" t="str">
        <f>IFERROR(__xludf.DUMMYFUNCTION("""COMPUTED_VALUE"""),"Cursos e Diárias")</f>
        <v>Cursos e Diárias</v>
      </c>
      <c r="C40" s="47" t="str">
        <f>IFERROR(__xludf.DUMMYFUNCTION("""COMPUTED_VALUE"""),"3 - OUTRAS DESPESAS CORRENTES")</f>
        <v>3 - OUTRAS DESPESAS CORRENTES</v>
      </c>
      <c r="D40" s="48" t="str">
        <f>IFERROR(__xludf.DUMMYFUNCTION("""COMPUTED_VALUE"""),"CEPDEC")</f>
        <v>CEPDEC</v>
      </c>
      <c r="E40" s="47" t="str">
        <f>IFERROR(__xludf.DUMMYFUNCTION("""COMPUTED_VALUE"""),"RECURSOS VINCULADOS DO TESOURO")</f>
        <v>RECURSOS VINCULADOS DO TESOURO</v>
      </c>
      <c r="F40" s="47" t="str">
        <f>IFERROR(__xludf.DUMMYFUNCTION("""COMPUTED_VALUE"""),"NOVA")</f>
        <v>NOVA</v>
      </c>
      <c r="G40" s="50">
        <f>IFERROR(__xludf.DUMMYFUNCTION("""COMPUTED_VALUE"""),46266.0)</f>
        <v>46266</v>
      </c>
      <c r="H40" s="47" t="str">
        <f>IFERROR(__xludf.DUMMYFUNCTION("""COMPUTED_VALUE"""),"UN")</f>
        <v>UN</v>
      </c>
      <c r="I40" s="52">
        <f>IFERROR(__xludf.DUMMYFUNCTION("""COMPUTED_VALUE"""),1.0)</f>
        <v>1</v>
      </c>
      <c r="J40" s="48">
        <f>IFERROR(__xludf.DUMMYFUNCTION("""COMPUTED_VALUE"""),19184.0)</f>
        <v>19184</v>
      </c>
      <c r="K40" s="48" t="str">
        <f>IFERROR(__xludf.DUMMYFUNCTION("""COMPUTED_VALUE"""),"MAJ QOCBM DANIEL ALVES ZANDONADI, NF 904070")</f>
        <v>MAJ QOCBM DANIEL ALVES ZANDONADI, NF 904070</v>
      </c>
    </row>
    <row r="41" ht="43.5" customHeight="1">
      <c r="A41" s="40" t="str">
        <f>IFERROR(__xludf.DUMMYFUNCTION("""COMPUTED_VALUE"""),"FUNPDEC")</f>
        <v>FUNPDEC</v>
      </c>
      <c r="B41" s="40" t="str">
        <f>IFERROR(__xludf.DUMMYFUNCTION("""COMPUTED_VALUE"""),"Eletrodomésticos")</f>
        <v>Eletrodomésticos</v>
      </c>
      <c r="C41" s="40" t="str">
        <f>IFERROR(__xludf.DUMMYFUNCTION("""COMPUTED_VALUE"""),"3 - OUTRAS DESPESAS CORRENTES")</f>
        <v>3 - OUTRAS DESPESAS CORRENTES</v>
      </c>
      <c r="D41" s="41" t="str">
        <f>IFERROR(__xludf.DUMMYFUNCTION("""COMPUTED_VALUE"""),"CEPDEC")</f>
        <v>CEPDEC</v>
      </c>
      <c r="E41" s="40" t="str">
        <f>IFERROR(__xludf.DUMMYFUNCTION("""COMPUTED_VALUE"""),"RECURSOS DE CAIXA DO TESOURO")</f>
        <v>RECURSOS DE CAIXA DO TESOURO</v>
      </c>
      <c r="F41" s="40" t="str">
        <f>IFERROR(__xludf.DUMMYFUNCTION("""COMPUTED_VALUE"""),"NOVA")</f>
        <v>NOVA</v>
      </c>
      <c r="G41" s="43">
        <f>IFERROR(__xludf.DUMMYFUNCTION("""COMPUTED_VALUE"""),46266.0)</f>
        <v>46266</v>
      </c>
      <c r="H41" s="40" t="str">
        <f>IFERROR(__xludf.DUMMYFUNCTION("""COMPUTED_VALUE"""),"UN")</f>
        <v>UN</v>
      </c>
      <c r="I41" s="45">
        <f>IFERROR(__xludf.DUMMYFUNCTION("""COMPUTED_VALUE"""),1.0)</f>
        <v>1</v>
      </c>
      <c r="J41" s="41">
        <f>IFERROR(__xludf.DUMMYFUNCTION("""COMPUTED_VALUE"""),385.0)</f>
        <v>385</v>
      </c>
      <c r="K41" s="41" t="str">
        <f>IFERROR(__xludf.DUMMYFUNCTION("""COMPUTED_VALUE"""),"SERVIDORA CIVIL ALESSANDRA SANT´ANNA RUFINO, NF 2956667")</f>
        <v>SERVIDORA CIVIL ALESSANDRA SANT´ANNA RUFINO, NF 2956667</v>
      </c>
    </row>
    <row r="42" ht="43.5" customHeight="1">
      <c r="A42" s="47" t="str">
        <f>IFERROR(__xludf.DUMMYFUNCTION("""COMPUTED_VALUE"""),"FUNPDEC")</f>
        <v>FUNPDEC</v>
      </c>
      <c r="B42" s="47" t="str">
        <f>IFERROR(__xludf.DUMMYFUNCTION("""COMPUTED_VALUE"""),"Eletrodomésticos")</f>
        <v>Eletrodomésticos</v>
      </c>
      <c r="C42" s="47" t="str">
        <f>IFERROR(__xludf.DUMMYFUNCTION("""COMPUTED_VALUE"""),"4 - INVESTIMENTOS")</f>
        <v>4 - INVESTIMENTOS</v>
      </c>
      <c r="D42" s="48" t="str">
        <f>IFERROR(__xludf.DUMMYFUNCTION("""COMPUTED_VALUE"""),"CERD")</f>
        <v>CERD</v>
      </c>
      <c r="E42" s="47" t="str">
        <f>IFERROR(__xludf.DUMMYFUNCTION("""COMPUTED_VALUE"""),"RECURSOS VINCULADOS DO TESOURO")</f>
        <v>RECURSOS VINCULADOS DO TESOURO</v>
      </c>
      <c r="F42" s="47" t="str">
        <f>IFERROR(__xludf.DUMMYFUNCTION("""COMPUTED_VALUE"""),"NOVA")</f>
        <v>NOVA</v>
      </c>
      <c r="G42" s="50">
        <f>IFERROR(__xludf.DUMMYFUNCTION("""COMPUTED_VALUE"""),46204.0)</f>
        <v>46204</v>
      </c>
      <c r="H42" s="47" t="str">
        <f>IFERROR(__xludf.DUMMYFUNCTION("""COMPUTED_VALUE"""),"UN")</f>
        <v>UN</v>
      </c>
      <c r="I42" s="52">
        <f>IFERROR(__xludf.DUMMYFUNCTION("""COMPUTED_VALUE"""),2.0)</f>
        <v>2</v>
      </c>
      <c r="J42" s="48">
        <f>IFERROR(__xludf.DUMMYFUNCTION("""COMPUTED_VALUE"""),10000.0)</f>
        <v>10000</v>
      </c>
      <c r="K42" s="48" t="str">
        <f>IFERROR(__xludf.DUMMYFUNCTION("""COMPUTED_VALUE"""),"SERVIDORA CIVIL GIULIANE MOREIRA, NF 3031942")</f>
        <v>SERVIDORA CIVIL GIULIANE MOREIRA, NF 3031942</v>
      </c>
    </row>
    <row r="43" ht="43.5" customHeight="1">
      <c r="A43" s="40" t="str">
        <f>IFERROR(__xludf.DUMMYFUNCTION("""COMPUTED_VALUE"""),"FUNPDEC")</f>
        <v>FUNPDEC</v>
      </c>
      <c r="B43" s="40" t="str">
        <f>IFERROR(__xludf.DUMMYFUNCTION("""COMPUTED_VALUE"""),"Embarcações")</f>
        <v>Embarcações</v>
      </c>
      <c r="C43" s="40" t="str">
        <f>IFERROR(__xludf.DUMMYFUNCTION("""COMPUTED_VALUE"""),"4 - INVESTIMENTOS")</f>
        <v>4 - INVESTIMENTOS</v>
      </c>
      <c r="D43" s="41" t="str">
        <f>IFERROR(__xludf.DUMMYFUNCTION("""COMPUTED_VALUE"""),"MERGULHO")</f>
        <v>MERGULHO</v>
      </c>
      <c r="E43" s="40" t="str">
        <f>IFERROR(__xludf.DUMMYFUNCTION("""COMPUTED_VALUE"""),"RECURSOS VINCULADOS DO TESOURO")</f>
        <v>RECURSOS VINCULADOS DO TESOURO</v>
      </c>
      <c r="F43" s="40" t="str">
        <f>IFERROR(__xludf.DUMMYFUNCTION("""COMPUTED_VALUE"""),"NOVA")</f>
        <v>NOVA</v>
      </c>
      <c r="G43" s="43">
        <f>IFERROR(__xludf.DUMMYFUNCTION("""COMPUTED_VALUE"""),46266.0)</f>
        <v>46266</v>
      </c>
      <c r="H43" s="40" t="str">
        <f>IFERROR(__xludf.DUMMYFUNCTION("""COMPUTED_VALUE"""),"UN")</f>
        <v>UN</v>
      </c>
      <c r="I43" s="45">
        <f>IFERROR(__xludf.DUMMYFUNCTION("""COMPUTED_VALUE"""),4.0)</f>
        <v>4</v>
      </c>
      <c r="J43" s="41">
        <f>IFERROR(__xludf.DUMMYFUNCTION("""COMPUTED_VALUE"""),228000.0)</f>
        <v>228000</v>
      </c>
      <c r="K43" s="41" t="str">
        <f>IFERROR(__xludf.DUMMYFUNCTION("""COMPUTED_VALUE"""),"SERVIDORA CIVIL ALESSANDRA SANT´ANNA RUFINO, NF 2956667")</f>
        <v>SERVIDORA CIVIL ALESSANDRA SANT´ANNA RUFINO, NF 2956667</v>
      </c>
    </row>
    <row r="44" ht="43.5" customHeight="1">
      <c r="A44" s="47" t="str">
        <f>IFERROR(__xludf.DUMMYFUNCTION("""COMPUTED_VALUE"""),"FUNPDEC")</f>
        <v>FUNPDEC</v>
      </c>
      <c r="B44" s="47" t="str">
        <f>IFERROR(__xludf.DUMMYFUNCTION("""COMPUTED_VALUE"""),"Equipamento de Proteção, Segurança e Socorro")</f>
        <v>Equipamento de Proteção, Segurança e Socorro</v>
      </c>
      <c r="C44" s="47" t="str">
        <f>IFERROR(__xludf.DUMMYFUNCTION("""COMPUTED_VALUE"""),"3 - OUTRAS DESPESAS CORRENTES")</f>
        <v>3 - OUTRAS DESPESAS CORRENTES</v>
      </c>
      <c r="D44" s="48" t="str">
        <f>IFERROR(__xludf.DUMMYFUNCTION("""COMPUTED_VALUE"""),"CEIB")</f>
        <v>CEIB</v>
      </c>
      <c r="E44" s="47" t="str">
        <f>IFERROR(__xludf.DUMMYFUNCTION("""COMPUTED_VALUE"""),"RECURSOS VINCULADOS DO TESOURO")</f>
        <v>RECURSOS VINCULADOS DO TESOURO</v>
      </c>
      <c r="F44" s="47" t="str">
        <f>IFERROR(__xludf.DUMMYFUNCTION("""COMPUTED_VALUE"""),"NOVA")</f>
        <v>NOVA</v>
      </c>
      <c r="G44" s="50">
        <f>IFERROR(__xludf.DUMMYFUNCTION("""COMPUTED_VALUE"""),46235.0)</f>
        <v>46235</v>
      </c>
      <c r="H44" s="47" t="str">
        <f>IFERROR(__xludf.DUMMYFUNCTION("""COMPUTED_VALUE"""),"kit")</f>
        <v>kit</v>
      </c>
      <c r="I44" s="52">
        <f>IFERROR(__xludf.DUMMYFUNCTION("""COMPUTED_VALUE"""),10.0)</f>
        <v>10</v>
      </c>
      <c r="J44" s="48">
        <f>IFERROR(__xludf.DUMMYFUNCTION("""COMPUTED_VALUE"""),44000.0)</f>
        <v>44000</v>
      </c>
      <c r="K44" s="48" t="str">
        <f>IFERROR(__xludf.DUMMYFUNCTION("""COMPUTED_VALUE"""),"MAJ QOCBM MARCIO DA COSTA CAVACHINI, NF 2758512")</f>
        <v>MAJ QOCBM MARCIO DA COSTA CAVACHINI, NF 2758512</v>
      </c>
    </row>
    <row r="45" ht="43.5" customHeight="1">
      <c r="A45" s="40" t="str">
        <f>IFERROR(__xludf.DUMMYFUNCTION("""COMPUTED_VALUE"""),"FUNPDEC")</f>
        <v>FUNPDEC</v>
      </c>
      <c r="B45" s="40" t="str">
        <f>IFERROR(__xludf.DUMMYFUNCTION("""COMPUTED_VALUE"""),"Equipamento de Proteção, Segurança e Socorro")</f>
        <v>Equipamento de Proteção, Segurança e Socorro</v>
      </c>
      <c r="C45" s="40" t="str">
        <f>IFERROR(__xludf.DUMMYFUNCTION("""COMPUTED_VALUE"""),"4 - INVESTIMENTOS")</f>
        <v>4 - INVESTIMENTOS</v>
      </c>
      <c r="D45" s="41" t="str">
        <f>IFERROR(__xludf.DUMMYFUNCTION("""COMPUTED_VALUE"""),"CEIB")</f>
        <v>CEIB</v>
      </c>
      <c r="E45" s="40" t="str">
        <f>IFERROR(__xludf.DUMMYFUNCTION("""COMPUTED_VALUE"""),"RECURSOS VINCULADOS DO TESOURO")</f>
        <v>RECURSOS VINCULADOS DO TESOURO</v>
      </c>
      <c r="F45" s="40" t="str">
        <f>IFERROR(__xludf.DUMMYFUNCTION("""COMPUTED_VALUE"""),"NOVA")</f>
        <v>NOVA</v>
      </c>
      <c r="G45" s="43">
        <f>IFERROR(__xludf.DUMMYFUNCTION("""COMPUTED_VALUE"""),46235.0)</f>
        <v>46235</v>
      </c>
      <c r="H45" s="40" t="str">
        <f>IFERROR(__xludf.DUMMYFUNCTION("""COMPUTED_VALUE"""),"UN")</f>
        <v>UN</v>
      </c>
      <c r="I45" s="45">
        <f>IFERROR(__xludf.DUMMYFUNCTION("""COMPUTED_VALUE"""),6.0)</f>
        <v>6</v>
      </c>
      <c r="J45" s="41">
        <f>IFERROR(__xludf.DUMMYFUNCTION("""COMPUTED_VALUE"""),31200.0)</f>
        <v>31200</v>
      </c>
      <c r="K45" s="41" t="str">
        <f>IFERROR(__xludf.DUMMYFUNCTION("""COMPUTED_VALUE"""),"SERVIDORA CIVIL GIULIANE MOREIRA, NF 3031942")</f>
        <v>SERVIDORA CIVIL GIULIANE MOREIRA, NF 3031942</v>
      </c>
    </row>
    <row r="46" ht="43.5" customHeight="1">
      <c r="A46" s="47" t="str">
        <f>IFERROR(__xludf.DUMMYFUNCTION("""COMPUTED_VALUE"""),"FUNPDEC")</f>
        <v>FUNPDEC</v>
      </c>
      <c r="B46" s="47" t="str">
        <f>IFERROR(__xludf.DUMMYFUNCTION("""COMPUTED_VALUE"""),"Equipamentos Para Áudio, Vídeo e Foto")</f>
        <v>Equipamentos Para Áudio, Vídeo e Foto</v>
      </c>
      <c r="C46" s="47" t="str">
        <f>IFERROR(__xludf.DUMMYFUNCTION("""COMPUTED_VALUE"""),"3 - OUTRAS DESPESAS CORRENTES")</f>
        <v>3 - OUTRAS DESPESAS CORRENTES</v>
      </c>
      <c r="D46" s="48" t="str">
        <f>IFERROR(__xludf.DUMMYFUNCTION("""COMPUTED_VALUE"""),"GTI 2026")</f>
        <v>GTI 2026</v>
      </c>
      <c r="E46" s="47" t="str">
        <f>IFERROR(__xludf.DUMMYFUNCTION("""COMPUTED_VALUE"""),"RECURSOS VINCULADOS DO TESOURO")</f>
        <v>RECURSOS VINCULADOS DO TESOURO</v>
      </c>
      <c r="F46" s="47" t="str">
        <f>IFERROR(__xludf.DUMMYFUNCTION("""COMPUTED_VALUE"""),"NOVA")</f>
        <v>NOVA</v>
      </c>
      <c r="G46" s="50">
        <f>IFERROR(__xludf.DUMMYFUNCTION("""COMPUTED_VALUE"""),46235.0)</f>
        <v>46235</v>
      </c>
      <c r="H46" s="47" t="str">
        <f>IFERROR(__xludf.DUMMYFUNCTION("""COMPUTED_VALUE"""),"UN")</f>
        <v>UN</v>
      </c>
      <c r="I46" s="52">
        <f>IFERROR(__xludf.DUMMYFUNCTION("""COMPUTED_VALUE"""),300.0)</f>
        <v>300</v>
      </c>
      <c r="J46" s="48">
        <f>IFERROR(__xludf.DUMMYFUNCTION("""COMPUTED_VALUE"""),85000.0)</f>
        <v>85000</v>
      </c>
      <c r="K46" s="48" t="str">
        <f>IFERROR(__xludf.DUMMYFUNCTION("""COMPUTED_VALUE"""),"SERVIDORA CIVIL GIULIANE MOREIRA, NF 3031942")</f>
        <v>SERVIDORA CIVIL GIULIANE MOREIRA, NF 3031942</v>
      </c>
    </row>
    <row r="47" ht="43.5" customHeight="1">
      <c r="A47" s="40" t="str">
        <f>IFERROR(__xludf.DUMMYFUNCTION("""COMPUTED_VALUE"""),"FUNPDEC")</f>
        <v>FUNPDEC</v>
      </c>
      <c r="B47" s="40" t="str">
        <f>IFERROR(__xludf.DUMMYFUNCTION("""COMPUTED_VALUE"""),"Equipamentos Para Áudio, Vídeo e Foto")</f>
        <v>Equipamentos Para Áudio, Vídeo e Foto</v>
      </c>
      <c r="C47" s="40" t="str">
        <f>IFERROR(__xludf.DUMMYFUNCTION("""COMPUTED_VALUE"""),"4 - INVESTIMENTOS")</f>
        <v>4 - INVESTIMENTOS</v>
      </c>
      <c r="D47" s="41" t="str">
        <f>IFERROR(__xludf.DUMMYFUNCTION("""COMPUTED_VALUE"""),"CEPDEC")</f>
        <v>CEPDEC</v>
      </c>
      <c r="E47" s="40" t="str">
        <f>IFERROR(__xludf.DUMMYFUNCTION("""COMPUTED_VALUE"""),"RECURSOS DE CAIXA DO TESOURO")</f>
        <v>RECURSOS DE CAIXA DO TESOURO</v>
      </c>
      <c r="F47" s="40" t="str">
        <f>IFERROR(__xludf.DUMMYFUNCTION("""COMPUTED_VALUE"""),"NOVA")</f>
        <v>NOVA</v>
      </c>
      <c r="G47" s="43">
        <f>IFERROR(__xludf.DUMMYFUNCTION("""COMPUTED_VALUE"""),46266.0)</f>
        <v>46266</v>
      </c>
      <c r="H47" s="40" t="str">
        <f>IFERROR(__xludf.DUMMYFUNCTION("""COMPUTED_VALUE"""),"UN")</f>
        <v>UN</v>
      </c>
      <c r="I47" s="45">
        <f>IFERROR(__xludf.DUMMYFUNCTION("""COMPUTED_VALUE"""),2.0)</f>
        <v>2</v>
      </c>
      <c r="J47" s="41">
        <f>IFERROR(__xludf.DUMMYFUNCTION("""COMPUTED_VALUE"""),3209.76)</f>
        <v>3209.76</v>
      </c>
      <c r="K47" s="41" t="str">
        <f>IFERROR(__xludf.DUMMYFUNCTION("""COMPUTED_VALUE"""),"MAJ QOCBM MARCIO DA COSTA CAVACHINI, NF 2758512")</f>
        <v>MAJ QOCBM MARCIO DA COSTA CAVACHINI, NF 2758512</v>
      </c>
    </row>
    <row r="48" ht="43.5" customHeight="1">
      <c r="A48" s="47" t="str">
        <f>IFERROR(__xludf.DUMMYFUNCTION("""COMPUTED_VALUE"""),"FUNPDEC")</f>
        <v>FUNPDEC</v>
      </c>
      <c r="B48" s="47" t="str">
        <f>IFERROR(__xludf.DUMMYFUNCTION("""COMPUTED_VALUE"""),"Equipamentos de Radiocomunicação")</f>
        <v>Equipamentos de Radiocomunicação</v>
      </c>
      <c r="C48" s="47" t="str">
        <f>IFERROR(__xludf.DUMMYFUNCTION("""COMPUTED_VALUE"""),"3 - OUTRAS DESPESAS CORRENTES")</f>
        <v>3 - OUTRAS DESPESAS CORRENTES</v>
      </c>
      <c r="D48" s="48" t="str">
        <f>IFERROR(__xludf.DUMMYFUNCTION("""COMPUTED_VALUE"""),"DEPMAT 2026")</f>
        <v>DEPMAT 2026</v>
      </c>
      <c r="E48" s="47" t="str">
        <f>IFERROR(__xludf.DUMMYFUNCTION("""COMPUTED_VALUE"""),"RECURSOS VINCULADOS DO TESOURO")</f>
        <v>RECURSOS VINCULADOS DO TESOURO</v>
      </c>
      <c r="F48" s="47" t="str">
        <f>IFERROR(__xludf.DUMMYFUNCTION("""COMPUTED_VALUE"""),"NOVA")</f>
        <v>NOVA</v>
      </c>
      <c r="G48" s="50">
        <f>IFERROR(__xludf.DUMMYFUNCTION("""COMPUTED_VALUE"""),46235.0)</f>
        <v>46235</v>
      </c>
      <c r="H48" s="47" t="str">
        <f>IFERROR(__xludf.DUMMYFUNCTION("""COMPUTED_VALUE"""),"UN")</f>
        <v>UN</v>
      </c>
      <c r="I48" s="52">
        <f>IFERROR(__xludf.DUMMYFUNCTION("""COMPUTED_VALUE"""),12.0)</f>
        <v>12</v>
      </c>
      <c r="J48" s="48">
        <f>IFERROR(__xludf.DUMMYFUNCTION("""COMPUTED_VALUE"""),30000.0)</f>
        <v>30000</v>
      </c>
      <c r="K48" s="48" t="str">
        <f>IFERROR(__xludf.DUMMYFUNCTION("""COMPUTED_VALUE"""),"1º TEN QOABM BRUNO DA SILVA BOREL, NF 903246")</f>
        <v>1º TEN QOABM BRUNO DA SILVA BOREL, NF 903246</v>
      </c>
    </row>
    <row r="49" ht="43.5" customHeight="1">
      <c r="A49" s="40" t="str">
        <f>IFERROR(__xludf.DUMMYFUNCTION("""COMPUTED_VALUE"""),"FUNPDEC")</f>
        <v>FUNPDEC</v>
      </c>
      <c r="B49" s="40" t="str">
        <f>IFERROR(__xludf.DUMMYFUNCTION("""COMPUTED_VALUE"""),"Equipamentos e Material Permanente")</f>
        <v>Equipamentos e Material Permanente</v>
      </c>
      <c r="C49" s="40" t="str">
        <f>IFERROR(__xludf.DUMMYFUNCTION("""COMPUTED_VALUE"""),"4 - INVESTIMENTOS")</f>
        <v>4 - INVESTIMENTOS</v>
      </c>
      <c r="D49" s="41" t="str">
        <f>IFERROR(__xludf.DUMMYFUNCTION("""COMPUTED_VALUE"""),"1° CIA DO 3° BBM")</f>
        <v>1° CIA DO 3° BBM</v>
      </c>
      <c r="E49" s="40" t="str">
        <f>IFERROR(__xludf.DUMMYFUNCTION("""COMPUTED_VALUE"""),"RECURSOS VINCULADOS DO TESOURO")</f>
        <v>RECURSOS VINCULADOS DO TESOURO</v>
      </c>
      <c r="F49" s="40" t="str">
        <f>IFERROR(__xludf.DUMMYFUNCTION("""COMPUTED_VALUE"""),"NOVA")</f>
        <v>NOVA</v>
      </c>
      <c r="G49" s="43">
        <f>IFERROR(__xludf.DUMMYFUNCTION("""COMPUTED_VALUE"""),46235.0)</f>
        <v>46235</v>
      </c>
      <c r="H49" s="40" t="str">
        <f>IFERROR(__xludf.DUMMYFUNCTION("""COMPUTED_VALUE"""),"UN")</f>
        <v>UN</v>
      </c>
      <c r="I49" s="45">
        <f>IFERROR(__xludf.DUMMYFUNCTION("""COMPUTED_VALUE"""),2.0)</f>
        <v>2</v>
      </c>
      <c r="J49" s="41">
        <f>IFERROR(__xludf.DUMMYFUNCTION("""COMPUTED_VALUE"""),12000.0)</f>
        <v>12000</v>
      </c>
      <c r="K49" s="41" t="str">
        <f>IFERROR(__xludf.DUMMYFUNCTION("""COMPUTED_VALUE"""),"SERVIDORA CIVIL GIULIANE MOREIRA, NF 3031942")</f>
        <v>SERVIDORA CIVIL GIULIANE MOREIRA, NF 3031942</v>
      </c>
    </row>
    <row r="50" ht="43.5" customHeight="1">
      <c r="A50" s="47" t="str">
        <f>IFERROR(__xludf.DUMMYFUNCTION("""COMPUTED_VALUE"""),"FUNPDEC")</f>
        <v>FUNPDEC</v>
      </c>
      <c r="B50" s="47" t="str">
        <f>IFERROR(__xludf.DUMMYFUNCTION("""COMPUTED_VALUE"""),"Ferramentas")</f>
        <v>Ferramentas</v>
      </c>
      <c r="C50" s="47" t="str">
        <f>IFERROR(__xludf.DUMMYFUNCTION("""COMPUTED_VALUE"""),"3 - OUTRAS DESPESAS CORRENTES")</f>
        <v>3 - OUTRAS DESPESAS CORRENTES</v>
      </c>
      <c r="D50" s="48" t="str">
        <f>IFERROR(__xludf.DUMMYFUNCTION("""COMPUTED_VALUE"""),"CERD")</f>
        <v>CERD</v>
      </c>
      <c r="E50" s="47" t="str">
        <f>IFERROR(__xludf.DUMMYFUNCTION("""COMPUTED_VALUE"""),"RECURSOS VINCULADOS DO TESOURO")</f>
        <v>RECURSOS VINCULADOS DO TESOURO</v>
      </c>
      <c r="F50" s="47" t="str">
        <f>IFERROR(__xludf.DUMMYFUNCTION("""COMPUTED_VALUE"""),"NOVA")</f>
        <v>NOVA</v>
      </c>
      <c r="G50" s="50">
        <f>IFERROR(__xludf.DUMMYFUNCTION("""COMPUTED_VALUE"""),46174.0)</f>
        <v>46174</v>
      </c>
      <c r="H50" s="47" t="str">
        <f>IFERROR(__xludf.DUMMYFUNCTION("""COMPUTED_VALUE"""),"UN")</f>
        <v>UN</v>
      </c>
      <c r="I50" s="52">
        <f>IFERROR(__xludf.DUMMYFUNCTION("""COMPUTED_VALUE"""),124.0)</f>
        <v>124</v>
      </c>
      <c r="J50" s="48">
        <f>IFERROR(__xludf.DUMMYFUNCTION("""COMPUTED_VALUE"""),11793.64)</f>
        <v>11793.64</v>
      </c>
      <c r="K50" s="48" t="str">
        <f>IFERROR(__xludf.DUMMYFUNCTION("""COMPUTED_VALUE"""),"SERVIDORA CIVIL GIULIANE MOREIRA, NF 3031942")</f>
        <v>SERVIDORA CIVIL GIULIANE MOREIRA, NF 3031942</v>
      </c>
    </row>
    <row r="51" ht="43.5" customHeight="1">
      <c r="A51" s="40" t="str">
        <f>IFERROR(__xludf.DUMMYFUNCTION("""COMPUTED_VALUE"""),"FUNPDEC")</f>
        <v>FUNPDEC</v>
      </c>
      <c r="B51" s="40" t="str">
        <f>IFERROR(__xludf.DUMMYFUNCTION("""COMPUTED_VALUE"""),"Fornecimento de Alimentação")</f>
        <v>Fornecimento de Alimentação</v>
      </c>
      <c r="C51" s="40" t="str">
        <f>IFERROR(__xludf.DUMMYFUNCTION("""COMPUTED_VALUE"""),"3 - OUTRAS DESPESAS CORRENTES")</f>
        <v>3 - OUTRAS DESPESAS CORRENTES</v>
      </c>
      <c r="D51" s="41" t="str">
        <f>IFERROR(__xludf.DUMMYFUNCTION("""COMPUTED_VALUE"""),"CEPDEC")</f>
        <v>CEPDEC</v>
      </c>
      <c r="E51" s="40" t="str">
        <f>IFERROR(__xludf.DUMMYFUNCTION("""COMPUTED_VALUE"""),"RECURSOS VINCULADOS DO TESOURO")</f>
        <v>RECURSOS VINCULADOS DO TESOURO</v>
      </c>
      <c r="F51" s="40" t="str">
        <f>IFERROR(__xludf.DUMMYFUNCTION("""COMPUTED_VALUE"""),"EXISTENTE A SER RENOVADA")</f>
        <v>EXISTENTE A SER RENOVADA</v>
      </c>
      <c r="G51" s="43">
        <f>IFERROR(__xludf.DUMMYFUNCTION("""COMPUTED_VALUE"""),46266.0)</f>
        <v>46266</v>
      </c>
      <c r="H51" s="40" t="str">
        <f>IFERROR(__xludf.DUMMYFUNCTION("""COMPUTED_VALUE"""),"UN")</f>
        <v>UN</v>
      </c>
      <c r="I51" s="45">
        <f>IFERROR(__xludf.DUMMYFUNCTION("""COMPUTED_VALUE"""),1000.0)</f>
        <v>1000</v>
      </c>
      <c r="J51" s="41">
        <f>IFERROR(__xludf.DUMMYFUNCTION("""COMPUTED_VALUE"""),100000.0)</f>
        <v>100000</v>
      </c>
      <c r="K51" s="41" t="str">
        <f>IFERROR(__xludf.DUMMYFUNCTION("""COMPUTED_VALUE"""),"1º TEN QOABM BRUNO DA SILVA BOREL, NF 903246")</f>
        <v>1º TEN QOABM BRUNO DA SILVA BOREL, NF 903246</v>
      </c>
    </row>
    <row r="52" ht="43.5" customHeight="1">
      <c r="A52" s="47" t="str">
        <f>IFERROR(__xludf.DUMMYFUNCTION("""COMPUTED_VALUE"""),"FUNPDEC")</f>
        <v>FUNPDEC</v>
      </c>
      <c r="B52" s="47" t="str">
        <f>IFERROR(__xludf.DUMMYFUNCTION("""COMPUTED_VALUE"""),"Gêneros de Alimentação")</f>
        <v>Gêneros de Alimentação</v>
      </c>
      <c r="C52" s="47" t="str">
        <f>IFERROR(__xludf.DUMMYFUNCTION("""COMPUTED_VALUE"""),"3 - OUTRAS DESPESAS CORRENTES")</f>
        <v>3 - OUTRAS DESPESAS CORRENTES</v>
      </c>
      <c r="D52" s="48" t="str">
        <f>IFERROR(__xludf.DUMMYFUNCTION("""COMPUTED_VALUE"""),"CEPDEC")</f>
        <v>CEPDEC</v>
      </c>
      <c r="E52" s="47" t="str">
        <f>IFERROR(__xludf.DUMMYFUNCTION("""COMPUTED_VALUE"""),"RECURSOS VINCULADOS DO TESOURO")</f>
        <v>RECURSOS VINCULADOS DO TESOURO</v>
      </c>
      <c r="F52" s="47" t="str">
        <f>IFERROR(__xludf.DUMMYFUNCTION("""COMPUTED_VALUE"""),"NOVA")</f>
        <v>NOVA</v>
      </c>
      <c r="G52" s="50">
        <f>IFERROR(__xludf.DUMMYFUNCTION("""COMPUTED_VALUE"""),46266.0)</f>
        <v>46266</v>
      </c>
      <c r="H52" s="47" t="str">
        <f>IFERROR(__xludf.DUMMYFUNCTION("""COMPUTED_VALUE"""),"UN")</f>
        <v>UN</v>
      </c>
      <c r="I52" s="52">
        <f>IFERROR(__xludf.DUMMYFUNCTION("""COMPUTED_VALUE"""),5050.0)</f>
        <v>5050</v>
      </c>
      <c r="J52" s="48">
        <f>IFERROR(__xludf.DUMMYFUNCTION("""COMPUTED_VALUE"""),558183.4)</f>
        <v>558183.4</v>
      </c>
      <c r="K52" s="48" t="str">
        <f>IFERROR(__xludf.DUMMYFUNCTION("""COMPUTED_VALUE"""),"SERVIDORA CIVIL ALESSANDRA SANT´ANNA RUFINO, NF 2956667")</f>
        <v>SERVIDORA CIVIL ALESSANDRA SANT´ANNA RUFINO, NF 2956667</v>
      </c>
    </row>
    <row r="53" ht="43.5" customHeight="1">
      <c r="A53" s="40" t="str">
        <f>IFERROR(__xludf.DUMMYFUNCTION("""COMPUTED_VALUE"""),"FUNPDEC")</f>
        <v>FUNPDEC</v>
      </c>
      <c r="B53" s="40" t="str">
        <f>IFERROR(__xludf.DUMMYFUNCTION("""COMPUTED_VALUE"""),"Material Elétrico / Energia")</f>
        <v>Material Elétrico / Energia</v>
      </c>
      <c r="C53" s="40" t="str">
        <f>IFERROR(__xludf.DUMMYFUNCTION("""COMPUTED_VALUE"""),"3 - OUTRAS DESPESAS CORRENTES")</f>
        <v>3 - OUTRAS DESPESAS CORRENTES</v>
      </c>
      <c r="D53" s="41" t="str">
        <f>IFERROR(__xludf.DUMMYFUNCTION("""COMPUTED_VALUE"""),"CEIB")</f>
        <v>CEIB</v>
      </c>
      <c r="E53" s="40" t="str">
        <f>IFERROR(__xludf.DUMMYFUNCTION("""COMPUTED_VALUE"""),"RECURSOS VINCULADOS DO TESOURO")</f>
        <v>RECURSOS VINCULADOS DO TESOURO</v>
      </c>
      <c r="F53" s="40" t="str">
        <f>IFERROR(__xludf.DUMMYFUNCTION("""COMPUTED_VALUE"""),"NOVA")</f>
        <v>NOVA</v>
      </c>
      <c r="G53" s="43">
        <f>IFERROR(__xludf.DUMMYFUNCTION("""COMPUTED_VALUE"""),46174.0)</f>
        <v>46174</v>
      </c>
      <c r="H53" s="40" t="str">
        <f>IFERROR(__xludf.DUMMYFUNCTION("""COMPUTED_VALUE"""),"UN")</f>
        <v>UN</v>
      </c>
      <c r="I53" s="45">
        <f>IFERROR(__xludf.DUMMYFUNCTION("""COMPUTED_VALUE"""),131.0)</f>
        <v>131</v>
      </c>
      <c r="J53" s="41">
        <f>IFERROR(__xludf.DUMMYFUNCTION("""COMPUTED_VALUE"""),4835.0)</f>
        <v>4835</v>
      </c>
      <c r="K53" s="41" t="str">
        <f>IFERROR(__xludf.DUMMYFUNCTION("""COMPUTED_VALUE"""),"SERVIDORA CIVIL ALESSANDRA SANT´ANNA RUFINO, NF 2956667")</f>
        <v>SERVIDORA CIVIL ALESSANDRA SANT´ANNA RUFINO, NF 2956667</v>
      </c>
    </row>
    <row r="54" ht="43.5" customHeight="1">
      <c r="A54" s="47" t="str">
        <f>IFERROR(__xludf.DUMMYFUNCTION("""COMPUTED_VALUE"""),"FUNPDEC")</f>
        <v>FUNPDEC</v>
      </c>
      <c r="B54" s="47" t="str">
        <f>IFERROR(__xludf.DUMMYFUNCTION("""COMPUTED_VALUE"""),"Material Hospitalar")</f>
        <v>Material Hospitalar</v>
      </c>
      <c r="C54" s="47" t="str">
        <f>IFERROR(__xludf.DUMMYFUNCTION("""COMPUTED_VALUE"""),"3 - OUTRAS DESPESAS CORRENTES")</f>
        <v>3 - OUTRAS DESPESAS CORRENTES</v>
      </c>
      <c r="D54" s="48" t="str">
        <f>IFERROR(__xludf.DUMMYFUNCTION("""COMPUTED_VALUE"""),"CEIB")</f>
        <v>CEIB</v>
      </c>
      <c r="E54" s="47" t="str">
        <f>IFERROR(__xludf.DUMMYFUNCTION("""COMPUTED_VALUE"""),"RECURSOS VINCULADOS DO TESOURO")</f>
        <v>RECURSOS VINCULADOS DO TESOURO</v>
      </c>
      <c r="F54" s="47" t="str">
        <f>IFERROR(__xludf.DUMMYFUNCTION("""COMPUTED_VALUE"""),"NOVA")</f>
        <v>NOVA</v>
      </c>
      <c r="G54" s="50">
        <f>IFERROR(__xludf.DUMMYFUNCTION("""COMPUTED_VALUE"""),46174.0)</f>
        <v>46174</v>
      </c>
      <c r="H54" s="47" t="str">
        <f>IFERROR(__xludf.DUMMYFUNCTION("""COMPUTED_VALUE"""),"metros")</f>
        <v>metros</v>
      </c>
      <c r="I54" s="52">
        <f>IFERROR(__xludf.DUMMYFUNCTION("""COMPUTED_VALUE"""),112.0)</f>
        <v>112</v>
      </c>
      <c r="J54" s="48">
        <f>IFERROR(__xludf.DUMMYFUNCTION("""COMPUTED_VALUE"""),7426.4)</f>
        <v>7426.4</v>
      </c>
      <c r="K54" s="48" t="str">
        <f>IFERROR(__xludf.DUMMYFUNCTION("""COMPUTED_VALUE"""),"SERVIDORA CIVIL ALESSANDRA SANT´ANNA RUFINO, NF 2956667")</f>
        <v>SERVIDORA CIVIL ALESSANDRA SANT´ANNA RUFINO, NF 2956667</v>
      </c>
    </row>
    <row r="55" ht="43.5" customHeight="1">
      <c r="A55" s="40" t="str">
        <f>IFERROR(__xludf.DUMMYFUNCTION("""COMPUTED_VALUE"""),"FUNPDEC")</f>
        <v>FUNPDEC</v>
      </c>
      <c r="B55" s="40" t="str">
        <f>IFERROR(__xludf.DUMMYFUNCTION("""COMPUTED_VALUE"""),"Material Hospitalar")</f>
        <v>Material Hospitalar</v>
      </c>
      <c r="C55" s="40" t="str">
        <f>IFERROR(__xludf.DUMMYFUNCTION("""COMPUTED_VALUE"""),"4 - INVESTIMENTOS")</f>
        <v>4 - INVESTIMENTOS</v>
      </c>
      <c r="D55" s="41" t="str">
        <f>IFERROR(__xludf.DUMMYFUNCTION("""COMPUTED_VALUE"""),"CEIB")</f>
        <v>CEIB</v>
      </c>
      <c r="E55" s="40" t="str">
        <f>IFERROR(__xludf.DUMMYFUNCTION("""COMPUTED_VALUE"""),"RECURSOS VINCULADOS DO TESOURO")</f>
        <v>RECURSOS VINCULADOS DO TESOURO</v>
      </c>
      <c r="F55" s="40" t="str">
        <f>IFERROR(__xludf.DUMMYFUNCTION("""COMPUTED_VALUE"""),"NOVA")</f>
        <v>NOVA</v>
      </c>
      <c r="G55" s="43">
        <f>IFERROR(__xludf.DUMMYFUNCTION("""COMPUTED_VALUE"""),46174.0)</f>
        <v>46174</v>
      </c>
      <c r="H55" s="40" t="str">
        <f>IFERROR(__xludf.DUMMYFUNCTION("""COMPUTED_VALUE"""),"UN")</f>
        <v>UN</v>
      </c>
      <c r="I55" s="45">
        <f>IFERROR(__xludf.DUMMYFUNCTION("""COMPUTED_VALUE"""),2.0)</f>
        <v>2</v>
      </c>
      <c r="J55" s="41">
        <f>IFERROR(__xludf.DUMMYFUNCTION("""COMPUTED_VALUE"""),1780.0)</f>
        <v>1780</v>
      </c>
      <c r="K55" s="41" t="str">
        <f>IFERROR(__xludf.DUMMYFUNCTION("""COMPUTED_VALUE"""),"1º TEN QOABM BRUNO DA SILVA BOREL, NF 903246")</f>
        <v>1º TEN QOABM BRUNO DA SILVA BOREL, NF 903246</v>
      </c>
    </row>
    <row r="56" ht="43.5" customHeight="1">
      <c r="A56" s="47" t="str">
        <f>IFERROR(__xludf.DUMMYFUNCTION("""COMPUTED_VALUE"""),"FUNPDEC")</f>
        <v>FUNPDEC</v>
      </c>
      <c r="B56" s="47" t="str">
        <f>IFERROR(__xludf.DUMMYFUNCTION("""COMPUTED_VALUE"""),"Material Para Manutenção de Bens Imóveis")</f>
        <v>Material Para Manutenção de Bens Imóveis</v>
      </c>
      <c r="C56" s="47" t="str">
        <f>IFERROR(__xludf.DUMMYFUNCTION("""COMPUTED_VALUE"""),"3 - OUTRAS DESPESAS CORRENTES")</f>
        <v>3 - OUTRAS DESPESAS CORRENTES</v>
      </c>
      <c r="D56" s="48" t="str">
        <f>IFERROR(__xludf.DUMMYFUNCTION("""COMPUTED_VALUE"""),"CEIB")</f>
        <v>CEIB</v>
      </c>
      <c r="E56" s="47" t="str">
        <f>IFERROR(__xludf.DUMMYFUNCTION("""COMPUTED_VALUE"""),"RECURSOS VINCULADOS DO TESOURO")</f>
        <v>RECURSOS VINCULADOS DO TESOURO</v>
      </c>
      <c r="F56" s="47" t="str">
        <f>IFERROR(__xludf.DUMMYFUNCTION("""COMPUTED_VALUE"""),"NOVA")</f>
        <v>NOVA</v>
      </c>
      <c r="G56" s="50">
        <f>IFERROR(__xludf.DUMMYFUNCTION("""COMPUTED_VALUE"""),46204.0)</f>
        <v>46204</v>
      </c>
      <c r="H56" s="47" t="str">
        <f>IFERROR(__xludf.DUMMYFUNCTION("""COMPUTED_VALUE"""),"UN")</f>
        <v>UN</v>
      </c>
      <c r="I56" s="52">
        <f>IFERROR(__xludf.DUMMYFUNCTION("""COMPUTED_VALUE"""),4.0)</f>
        <v>4</v>
      </c>
      <c r="J56" s="48">
        <f>IFERROR(__xludf.DUMMYFUNCTION("""COMPUTED_VALUE"""),5600.0)</f>
        <v>5600</v>
      </c>
      <c r="K56" s="48" t="str">
        <f>IFERROR(__xludf.DUMMYFUNCTION("""COMPUTED_VALUE"""),"1º TEN QOABM BRUNO DA SILVA BOREL, NF 903246")</f>
        <v>1º TEN QOABM BRUNO DA SILVA BOREL, NF 903246</v>
      </c>
    </row>
    <row r="57" ht="43.5" customHeight="1">
      <c r="A57" s="40" t="str">
        <f>IFERROR(__xludf.DUMMYFUNCTION("""COMPUTED_VALUE"""),"FUNPDEC")</f>
        <v>FUNPDEC</v>
      </c>
      <c r="B57" s="40" t="str">
        <f>IFERROR(__xludf.DUMMYFUNCTION("""COMPUTED_VALUE"""),"Material Técnico Para Seleção e Treinamento")</f>
        <v>Material Técnico Para Seleção e Treinamento</v>
      </c>
      <c r="C57" s="40" t="str">
        <f>IFERROR(__xludf.DUMMYFUNCTION("""COMPUTED_VALUE"""),"3 - OUTRAS DESPESAS CORRENTES")</f>
        <v>3 - OUTRAS DESPESAS CORRENTES</v>
      </c>
      <c r="D57" s="41" t="str">
        <f>IFERROR(__xludf.DUMMYFUNCTION("""COMPUTED_VALUE"""),"CEIB")</f>
        <v>CEIB</v>
      </c>
      <c r="E57" s="40" t="str">
        <f>IFERROR(__xludf.DUMMYFUNCTION("""COMPUTED_VALUE"""),"RECURSOS VINCULADOS DO TESOURO")</f>
        <v>RECURSOS VINCULADOS DO TESOURO</v>
      </c>
      <c r="F57" s="40" t="str">
        <f>IFERROR(__xludf.DUMMYFUNCTION("""COMPUTED_VALUE"""),"NOVA")</f>
        <v>NOVA</v>
      </c>
      <c r="G57" s="43">
        <f>IFERROR(__xludf.DUMMYFUNCTION("""COMPUTED_VALUE"""),46204.0)</f>
        <v>46204</v>
      </c>
      <c r="H57" s="40" t="str">
        <f>IFERROR(__xludf.DUMMYFUNCTION("""COMPUTED_VALUE"""),"UN")</f>
        <v>UN</v>
      </c>
      <c r="I57" s="45">
        <f>IFERROR(__xludf.DUMMYFUNCTION("""COMPUTED_VALUE"""),5.0)</f>
        <v>5</v>
      </c>
      <c r="J57" s="41">
        <f>IFERROR(__xludf.DUMMYFUNCTION("""COMPUTED_VALUE"""),8000.0)</f>
        <v>8000</v>
      </c>
      <c r="K57" s="41" t="str">
        <f>IFERROR(__xludf.DUMMYFUNCTION("""COMPUTED_VALUE"""),"SERVIDORA CIVIL GIULIANE MOREIRA, NF 3031942")</f>
        <v>SERVIDORA CIVIL GIULIANE MOREIRA, NF 3031942</v>
      </c>
    </row>
    <row r="58" ht="43.5" customHeight="1">
      <c r="A58" s="47" t="str">
        <f>IFERROR(__xludf.DUMMYFUNCTION("""COMPUTED_VALUE"""),"FUNPDEC")</f>
        <v>FUNPDEC</v>
      </c>
      <c r="B58" s="47" t="str">
        <f>IFERROR(__xludf.DUMMYFUNCTION("""COMPUTED_VALUE"""),"Material de Copa e Cozinha")</f>
        <v>Material de Copa e Cozinha</v>
      </c>
      <c r="C58" s="47" t="str">
        <f>IFERROR(__xludf.DUMMYFUNCTION("""COMPUTED_VALUE"""),"3 - OUTRAS DESPESAS CORRENTES")</f>
        <v>3 - OUTRAS DESPESAS CORRENTES</v>
      </c>
      <c r="D58" s="48" t="str">
        <f>IFERROR(__xludf.DUMMYFUNCTION("""COMPUTED_VALUE"""),"CEIB")</f>
        <v>CEIB</v>
      </c>
      <c r="E58" s="47" t="str">
        <f>IFERROR(__xludf.DUMMYFUNCTION("""COMPUTED_VALUE"""),"RECURSOS VINCULADOS DO TESOURO")</f>
        <v>RECURSOS VINCULADOS DO TESOURO</v>
      </c>
      <c r="F58" s="47" t="str">
        <f>IFERROR(__xludf.DUMMYFUNCTION("""COMPUTED_VALUE"""),"NOVA")</f>
        <v>NOVA</v>
      </c>
      <c r="G58" s="50">
        <f>IFERROR(__xludf.DUMMYFUNCTION("""COMPUTED_VALUE"""),46174.0)</f>
        <v>46174</v>
      </c>
      <c r="H58" s="47" t="str">
        <f>IFERROR(__xludf.DUMMYFUNCTION("""COMPUTED_VALUE"""),"UN")</f>
        <v>UN</v>
      </c>
      <c r="I58" s="52">
        <f>IFERROR(__xludf.DUMMYFUNCTION("""COMPUTED_VALUE"""),10.0)</f>
        <v>10</v>
      </c>
      <c r="J58" s="48">
        <f>IFERROR(__xludf.DUMMYFUNCTION("""COMPUTED_VALUE"""),720.0)</f>
        <v>720</v>
      </c>
      <c r="K58" s="48" t="str">
        <f>IFERROR(__xludf.DUMMYFUNCTION("""COMPUTED_VALUE"""),"MAJ QOCBM MARCIO DA COSTA CAVACHINI, NF 2758512")</f>
        <v>MAJ QOCBM MARCIO DA COSTA CAVACHINI, NF 2758512</v>
      </c>
    </row>
    <row r="59" ht="43.5" customHeight="1">
      <c r="A59" s="40" t="str">
        <f>IFERROR(__xludf.DUMMYFUNCTION("""COMPUTED_VALUE"""),"FUNPDEC")</f>
        <v>FUNPDEC</v>
      </c>
      <c r="B59" s="40" t="str">
        <f>IFERROR(__xludf.DUMMYFUNCTION("""COMPUTED_VALUE"""),"Material de Expediente")</f>
        <v>Material de Expediente</v>
      </c>
      <c r="C59" s="40" t="str">
        <f>IFERROR(__xludf.DUMMYFUNCTION("""COMPUTED_VALUE"""),"3 - OUTRAS DESPESAS CORRENTES")</f>
        <v>3 - OUTRAS DESPESAS CORRENTES</v>
      </c>
      <c r="D59" s="41" t="str">
        <f>IFERROR(__xludf.DUMMYFUNCTION("""COMPUTED_VALUE"""),"CEPDEC")</f>
        <v>CEPDEC</v>
      </c>
      <c r="E59" s="40" t="str">
        <f>IFERROR(__xludf.DUMMYFUNCTION("""COMPUTED_VALUE"""),"RECURSOS VINCULADOS DO TESOURO")</f>
        <v>RECURSOS VINCULADOS DO TESOURO</v>
      </c>
      <c r="F59" s="40" t="str">
        <f>IFERROR(__xludf.DUMMYFUNCTION("""COMPUTED_VALUE"""),"NOVA")</f>
        <v>NOVA</v>
      </c>
      <c r="G59" s="43">
        <f>IFERROR(__xludf.DUMMYFUNCTION("""COMPUTED_VALUE"""),46266.0)</f>
        <v>46266</v>
      </c>
      <c r="H59" s="40" t="str">
        <f>IFERROR(__xludf.DUMMYFUNCTION("""COMPUTED_VALUE"""),"UN")</f>
        <v>UN</v>
      </c>
      <c r="I59" s="45">
        <f>IFERROR(__xludf.DUMMYFUNCTION("""COMPUTED_VALUE"""),2516.0)</f>
        <v>2516</v>
      </c>
      <c r="J59" s="41">
        <f>IFERROR(__xludf.DUMMYFUNCTION("""COMPUTED_VALUE"""),75486.0)</f>
        <v>75486</v>
      </c>
      <c r="K59" s="41" t="str">
        <f>IFERROR(__xludf.DUMMYFUNCTION("""COMPUTED_VALUE"""),"SERVIDORA CIVIL GIULIANE MOREIRA, NF 3031942")</f>
        <v>SERVIDORA CIVIL GIULIANE MOREIRA, NF 3031942</v>
      </c>
    </row>
    <row r="60" ht="43.5" customHeight="1">
      <c r="A60" s="47" t="str">
        <f>IFERROR(__xludf.DUMMYFUNCTION("""COMPUTED_VALUE"""),"FUNPDEC")</f>
        <v>FUNPDEC</v>
      </c>
      <c r="B60" s="47" t="str">
        <f>IFERROR(__xludf.DUMMYFUNCTION("""COMPUTED_VALUE"""),"Material de Limpeza e Produção de Higienização")</f>
        <v>Material de Limpeza e Produção de Higienização</v>
      </c>
      <c r="C60" s="47" t="str">
        <f>IFERROR(__xludf.DUMMYFUNCTION("""COMPUTED_VALUE"""),"3 - OUTRAS DESPESAS CORRENTES")</f>
        <v>3 - OUTRAS DESPESAS CORRENTES</v>
      </c>
      <c r="D60" s="48" t="str">
        <f>IFERROR(__xludf.DUMMYFUNCTION("""COMPUTED_VALUE"""),"CEIB")</f>
        <v>CEIB</v>
      </c>
      <c r="E60" s="47" t="str">
        <f>IFERROR(__xludf.DUMMYFUNCTION("""COMPUTED_VALUE"""),"RECURSOS VINCULADOS DO TESOURO")</f>
        <v>RECURSOS VINCULADOS DO TESOURO</v>
      </c>
      <c r="F60" s="47" t="str">
        <f>IFERROR(__xludf.DUMMYFUNCTION("""COMPUTED_VALUE"""),"NOVA")</f>
        <v>NOVA</v>
      </c>
      <c r="G60" s="50">
        <f>IFERROR(__xludf.DUMMYFUNCTION("""COMPUTED_VALUE"""),46143.0)</f>
        <v>46143</v>
      </c>
      <c r="H60" s="47" t="str">
        <f>IFERROR(__xludf.DUMMYFUNCTION("""COMPUTED_VALUE"""),"UN")</f>
        <v>UN</v>
      </c>
      <c r="I60" s="52">
        <f>IFERROR(__xludf.DUMMYFUNCTION("""COMPUTED_VALUE"""),7.0)</f>
        <v>7</v>
      </c>
      <c r="J60" s="48">
        <f>IFERROR(__xludf.DUMMYFUNCTION("""COMPUTED_VALUE"""),375.0)</f>
        <v>375</v>
      </c>
      <c r="K60" s="48" t="str">
        <f>IFERROR(__xludf.DUMMYFUNCTION("""COMPUTED_VALUE"""),"2º TEN QOABM SONALY WESLENY DE FÁTIMA DA SILVA RIBEIRO, NF 903842")</f>
        <v>2º TEN QOABM SONALY WESLENY DE FÁTIMA DA SILVA RIBEIRO, NF 903842</v>
      </c>
    </row>
    <row r="61" ht="43.5" customHeight="1">
      <c r="A61" s="40" t="str">
        <f>IFERROR(__xludf.DUMMYFUNCTION("""COMPUTED_VALUE"""),"FUNPDEC")</f>
        <v>FUNPDEC</v>
      </c>
      <c r="B61" s="40" t="str">
        <f>IFERROR(__xludf.DUMMYFUNCTION("""COMPUTED_VALUE"""),"Material de Proteção e Segurança")</f>
        <v>Material de Proteção e Segurança</v>
      </c>
      <c r="C61" s="40" t="str">
        <f>IFERROR(__xludf.DUMMYFUNCTION("""COMPUTED_VALUE"""),"3 - OUTRAS DESPESAS CORRENTES")</f>
        <v>3 - OUTRAS DESPESAS CORRENTES</v>
      </c>
      <c r="D61" s="41" t="str">
        <f>IFERROR(__xludf.DUMMYFUNCTION("""COMPUTED_VALUE"""),"CERD")</f>
        <v>CERD</v>
      </c>
      <c r="E61" s="40" t="str">
        <f>IFERROR(__xludf.DUMMYFUNCTION("""COMPUTED_VALUE"""),"RECURSOS VINCULADOS DO TESOURO")</f>
        <v>RECURSOS VINCULADOS DO TESOURO</v>
      </c>
      <c r="F61" s="40" t="str">
        <f>IFERROR(__xludf.DUMMYFUNCTION("""COMPUTED_VALUE"""),"NOVA")</f>
        <v>NOVA</v>
      </c>
      <c r="G61" s="43">
        <f>IFERROR(__xludf.DUMMYFUNCTION("""COMPUTED_VALUE"""),46266.0)</f>
        <v>46266</v>
      </c>
      <c r="H61" s="40" t="str">
        <f>IFERROR(__xludf.DUMMYFUNCTION("""COMPUTED_VALUE"""),"UN")</f>
        <v>UN</v>
      </c>
      <c r="I61" s="45">
        <f>IFERROR(__xludf.DUMMYFUNCTION("""COMPUTED_VALUE"""),4546.0)</f>
        <v>4546</v>
      </c>
      <c r="J61" s="41">
        <f>IFERROR(__xludf.DUMMYFUNCTION("""COMPUTED_VALUE"""),1240881.05)</f>
        <v>1240881.05</v>
      </c>
      <c r="K61" s="41" t="str">
        <f>IFERROR(__xludf.DUMMYFUNCTION("""COMPUTED_VALUE"""),"SERVIDORA CIVIL GIULIANE MOREIRA, NF 3031942")</f>
        <v>SERVIDORA CIVIL GIULIANE MOREIRA, NF 3031942</v>
      </c>
    </row>
    <row r="62" ht="43.5" customHeight="1">
      <c r="A62" s="47" t="str">
        <f>IFERROR(__xludf.DUMMYFUNCTION("""COMPUTED_VALUE"""),"FUNPDEC")</f>
        <v>FUNPDEC</v>
      </c>
      <c r="B62" s="47" t="str">
        <f>IFERROR(__xludf.DUMMYFUNCTION("""COMPUTED_VALUE"""),"Material de Proteção e Segurança")</f>
        <v>Material de Proteção e Segurança</v>
      </c>
      <c r="C62" s="47" t="str">
        <f>IFERROR(__xludf.DUMMYFUNCTION("""COMPUTED_VALUE"""),"4 - INVESTIMENTOS")</f>
        <v>4 - INVESTIMENTOS</v>
      </c>
      <c r="D62" s="48" t="str">
        <f>IFERROR(__xludf.DUMMYFUNCTION("""COMPUTED_VALUE"""),"CERD")</f>
        <v>CERD</v>
      </c>
      <c r="E62" s="47" t="str">
        <f>IFERROR(__xludf.DUMMYFUNCTION("""COMPUTED_VALUE"""),"RECURSOS VINCULADOS DO TESOURO")</f>
        <v>RECURSOS VINCULADOS DO TESOURO</v>
      </c>
      <c r="F62" s="47" t="str">
        <f>IFERROR(__xludf.DUMMYFUNCTION("""COMPUTED_VALUE"""),"NOVA")</f>
        <v>NOVA</v>
      </c>
      <c r="G62" s="50">
        <f>IFERROR(__xludf.DUMMYFUNCTION("""COMPUTED_VALUE"""),46204.0)</f>
        <v>46204</v>
      </c>
      <c r="H62" s="47" t="str">
        <f>IFERROR(__xludf.DUMMYFUNCTION("""COMPUTED_VALUE"""),"UN")</f>
        <v>UN</v>
      </c>
      <c r="I62" s="52">
        <f>IFERROR(__xludf.DUMMYFUNCTION("""COMPUTED_VALUE"""),28.0)</f>
        <v>28</v>
      </c>
      <c r="J62" s="48">
        <f>IFERROR(__xludf.DUMMYFUNCTION("""COMPUTED_VALUE"""),20400.0)</f>
        <v>20400</v>
      </c>
      <c r="K62" s="48" t="str">
        <f>IFERROR(__xludf.DUMMYFUNCTION("""COMPUTED_VALUE"""),"SERVIDORA CIVIL GIULIANE MOREIRA, NF 3031942")</f>
        <v>SERVIDORA CIVIL GIULIANE MOREIRA, NF 3031942</v>
      </c>
    </row>
    <row r="63" ht="43.5" customHeight="1">
      <c r="A63" s="40" t="str">
        <f>IFERROR(__xludf.DUMMYFUNCTION("""COMPUTED_VALUE"""),"FUNPDEC")</f>
        <v>FUNPDEC</v>
      </c>
      <c r="B63" s="40" t="str">
        <f>IFERROR(__xludf.DUMMYFUNCTION("""COMPUTED_VALUE"""),"Material para Comunicações")</f>
        <v>Material para Comunicações</v>
      </c>
      <c r="C63" s="40" t="str">
        <f>IFERROR(__xludf.DUMMYFUNCTION("""COMPUTED_VALUE"""),"3 - OUTRAS DESPESAS CORRENTES")</f>
        <v>3 - OUTRAS DESPESAS CORRENTES</v>
      </c>
      <c r="D63" s="41" t="str">
        <f>IFERROR(__xludf.DUMMYFUNCTION("""COMPUTED_VALUE"""),"DEPMAT 2026")</f>
        <v>DEPMAT 2026</v>
      </c>
      <c r="E63" s="40" t="str">
        <f>IFERROR(__xludf.DUMMYFUNCTION("""COMPUTED_VALUE"""),"RECURSOS VINCULADOS DO TESOURO")</f>
        <v>RECURSOS VINCULADOS DO TESOURO</v>
      </c>
      <c r="F63" s="40" t="str">
        <f>IFERROR(__xludf.DUMMYFUNCTION("""COMPUTED_VALUE"""),"NOVA")</f>
        <v>NOVA</v>
      </c>
      <c r="G63" s="43">
        <f>IFERROR(__xludf.DUMMYFUNCTION("""COMPUTED_VALUE"""),46235.0)</f>
        <v>46235</v>
      </c>
      <c r="H63" s="40" t="str">
        <f>IFERROR(__xludf.DUMMYFUNCTION("""COMPUTED_VALUE"""),"UN")</f>
        <v>UN</v>
      </c>
      <c r="I63" s="45">
        <f>IFERROR(__xludf.DUMMYFUNCTION("""COMPUTED_VALUE"""),271.0)</f>
        <v>271</v>
      </c>
      <c r="J63" s="41">
        <f>IFERROR(__xludf.DUMMYFUNCTION("""COMPUTED_VALUE"""),91000.0)</f>
        <v>91000</v>
      </c>
      <c r="K63" s="41" t="str">
        <f>IFERROR(__xludf.DUMMYFUNCTION("""COMPUTED_VALUE"""),"MAJ QOCBM MARCIO DA COSTA CAVACHINI, NF 2758512")</f>
        <v>MAJ QOCBM MARCIO DA COSTA CAVACHINI, NF 2758512</v>
      </c>
    </row>
    <row r="64" ht="43.5" customHeight="1">
      <c r="A64" s="47" t="str">
        <f>IFERROR(__xludf.DUMMYFUNCTION("""COMPUTED_VALUE"""),"FUNPDEC")</f>
        <v>FUNPDEC</v>
      </c>
      <c r="B64" s="47" t="str">
        <f>IFERROR(__xludf.DUMMYFUNCTION("""COMPUTED_VALUE"""),"Máquinas e Equipamentos Energéticos")</f>
        <v>Máquinas e Equipamentos Energéticos</v>
      </c>
      <c r="C64" s="47" t="str">
        <f>IFERROR(__xludf.DUMMYFUNCTION("""COMPUTED_VALUE"""),"4 - INVESTIMENTOS")</f>
        <v>4 - INVESTIMENTOS</v>
      </c>
      <c r="D64" s="48" t="str">
        <f>IFERROR(__xludf.DUMMYFUNCTION("""COMPUTED_VALUE"""),"CERD")</f>
        <v>CERD</v>
      </c>
      <c r="E64" s="47" t="str">
        <f>IFERROR(__xludf.DUMMYFUNCTION("""COMPUTED_VALUE"""),"RECURSOS VINCULADOS DO TESOURO")</f>
        <v>RECURSOS VINCULADOS DO TESOURO</v>
      </c>
      <c r="F64" s="47" t="str">
        <f>IFERROR(__xludf.DUMMYFUNCTION("""COMPUTED_VALUE"""),"NOVA")</f>
        <v>NOVA</v>
      </c>
      <c r="G64" s="50">
        <f>IFERROR(__xludf.DUMMYFUNCTION("""COMPUTED_VALUE"""),46235.0)</f>
        <v>46235</v>
      </c>
      <c r="H64" s="47" t="str">
        <f>IFERROR(__xludf.DUMMYFUNCTION("""COMPUTED_VALUE"""),"UN")</f>
        <v>UN</v>
      </c>
      <c r="I64" s="52">
        <f>IFERROR(__xludf.DUMMYFUNCTION("""COMPUTED_VALUE"""),4.0)</f>
        <v>4</v>
      </c>
      <c r="J64" s="48">
        <f>IFERROR(__xludf.DUMMYFUNCTION("""COMPUTED_VALUE"""),38000.0)</f>
        <v>38000</v>
      </c>
      <c r="K64" s="48" t="str">
        <f>IFERROR(__xludf.DUMMYFUNCTION("""COMPUTED_VALUE"""),"SERVIDORA CIVIL GIULIANE MOREIRA, NF 3031942")</f>
        <v>SERVIDORA CIVIL GIULIANE MOREIRA, NF 3031942</v>
      </c>
    </row>
    <row r="65" ht="43.5" customHeight="1">
      <c r="A65" s="40" t="str">
        <f>IFERROR(__xludf.DUMMYFUNCTION("""COMPUTED_VALUE"""),"FUNPDEC")</f>
        <v>FUNPDEC</v>
      </c>
      <c r="B65" s="40" t="str">
        <f>IFERROR(__xludf.DUMMYFUNCTION("""COMPUTED_VALUE"""),"Máquinas, Utensílios e Equipamentos Diversos")</f>
        <v>Máquinas, Utensílios e Equipamentos Diversos</v>
      </c>
      <c r="C65" s="40" t="str">
        <f>IFERROR(__xludf.DUMMYFUNCTION("""COMPUTED_VALUE"""),"4 - INVESTIMENTOS")</f>
        <v>4 - INVESTIMENTOS</v>
      </c>
      <c r="D65" s="41" t="str">
        <f>IFERROR(__xludf.DUMMYFUNCTION("""COMPUTED_VALUE"""),"CEPDEC")</f>
        <v>CEPDEC</v>
      </c>
      <c r="E65" s="40" t="str">
        <f>IFERROR(__xludf.DUMMYFUNCTION("""COMPUTED_VALUE"""),"RECURSOS VINCULADOS DO TESOURO")</f>
        <v>RECURSOS VINCULADOS DO TESOURO</v>
      </c>
      <c r="F65" s="40" t="str">
        <f>IFERROR(__xludf.DUMMYFUNCTION("""COMPUTED_VALUE"""),"NOVA")</f>
        <v>NOVA</v>
      </c>
      <c r="G65" s="43">
        <f>IFERROR(__xludf.DUMMYFUNCTION("""COMPUTED_VALUE"""),46204.0)</f>
        <v>46204</v>
      </c>
      <c r="H65" s="40" t="str">
        <f>IFERROR(__xludf.DUMMYFUNCTION("""COMPUTED_VALUE"""),"UN")</f>
        <v>UN</v>
      </c>
      <c r="I65" s="45">
        <f>IFERROR(__xludf.DUMMYFUNCTION("""COMPUTED_VALUE"""),5.0)</f>
        <v>5</v>
      </c>
      <c r="J65" s="41">
        <f>IFERROR(__xludf.DUMMYFUNCTION("""COMPUTED_VALUE"""),64320.0)</f>
        <v>64320</v>
      </c>
      <c r="K65" s="41" t="str">
        <f>IFERROR(__xludf.DUMMYFUNCTION("""COMPUTED_VALUE"""),"SERVIDORA CIVIL GIULIANE MOREIRA, NF 3031942")</f>
        <v>SERVIDORA CIVIL GIULIANE MOREIRA, NF 3031942</v>
      </c>
    </row>
    <row r="66" ht="43.5" customHeight="1">
      <c r="A66" s="47" t="str">
        <f>IFERROR(__xludf.DUMMYFUNCTION("""COMPUTED_VALUE"""),"FUNPDEC")</f>
        <v>FUNPDEC</v>
      </c>
      <c r="B66" s="47" t="str">
        <f>IFERROR(__xludf.DUMMYFUNCTION("""COMPUTED_VALUE"""),"Obras de Benfeitoria ou Melhoria")</f>
        <v>Obras de Benfeitoria ou Melhoria</v>
      </c>
      <c r="C66" s="47" t="str">
        <f>IFERROR(__xludf.DUMMYFUNCTION("""COMPUTED_VALUE"""),"3 - OUTRAS DESPESAS CORRENTES")</f>
        <v>3 - OUTRAS DESPESAS CORRENTES</v>
      </c>
      <c r="D66" s="48" t="str">
        <f>IFERROR(__xludf.DUMMYFUNCTION("""COMPUTED_VALUE"""),"CEIB")</f>
        <v>CEIB</v>
      </c>
      <c r="E66" s="47" t="str">
        <f>IFERROR(__xludf.DUMMYFUNCTION("""COMPUTED_VALUE"""),"RECURSOS VINCULADOS DO TESOURO")</f>
        <v>RECURSOS VINCULADOS DO TESOURO</v>
      </c>
      <c r="F66" s="47" t="str">
        <f>IFERROR(__xludf.DUMMYFUNCTION("""COMPUTED_VALUE"""),"NOVA")</f>
        <v>NOVA</v>
      </c>
      <c r="G66" s="50">
        <f>IFERROR(__xludf.DUMMYFUNCTION("""COMPUTED_VALUE"""),46235.0)</f>
        <v>46235</v>
      </c>
      <c r="H66" s="47" t="str">
        <f>IFERROR(__xludf.DUMMYFUNCTION("""COMPUTED_VALUE"""),"UN")</f>
        <v>UN</v>
      </c>
      <c r="I66" s="52">
        <f>IFERROR(__xludf.DUMMYFUNCTION("""COMPUTED_VALUE"""),1.0)</f>
        <v>1</v>
      </c>
      <c r="J66" s="48">
        <f>IFERROR(__xludf.DUMMYFUNCTION("""COMPUTED_VALUE"""),12000.0)</f>
        <v>12000</v>
      </c>
      <c r="K66" s="48" t="str">
        <f>IFERROR(__xludf.DUMMYFUNCTION("""COMPUTED_VALUE"""),"SERVIDORA CIVIL GIULIANE MOREIRA, NF 3031942")</f>
        <v>SERVIDORA CIVIL GIULIANE MOREIRA, NF 3031942</v>
      </c>
    </row>
    <row r="67" ht="43.5" customHeight="1">
      <c r="A67" s="40" t="str">
        <f>IFERROR(__xludf.DUMMYFUNCTION("""COMPUTED_VALUE"""),"FUNPDEC")</f>
        <v>FUNPDEC</v>
      </c>
      <c r="B67" s="40" t="str">
        <f>IFERROR(__xludf.DUMMYFUNCTION("""COMPUTED_VALUE"""),"Serviços Gráficos")</f>
        <v>Serviços Gráficos</v>
      </c>
      <c r="C67" s="40" t="str">
        <f>IFERROR(__xludf.DUMMYFUNCTION("""COMPUTED_VALUE"""),"4 - INVESTIMENTOS")</f>
        <v>4 - INVESTIMENTOS</v>
      </c>
      <c r="D67" s="41" t="str">
        <f>IFERROR(__xludf.DUMMYFUNCTION("""COMPUTED_VALUE"""),"CEPDEC")</f>
        <v>CEPDEC</v>
      </c>
      <c r="E67" s="40" t="str">
        <f>IFERROR(__xludf.DUMMYFUNCTION("""COMPUTED_VALUE"""),"RECURSOS VINCULADOS DO TESOURO")</f>
        <v>RECURSOS VINCULADOS DO TESOURO</v>
      </c>
      <c r="F67" s="40" t="str">
        <f>IFERROR(__xludf.DUMMYFUNCTION("""COMPUTED_VALUE"""),"NOVA")</f>
        <v>NOVA</v>
      </c>
      <c r="G67" s="43">
        <f>IFERROR(__xludf.DUMMYFUNCTION("""COMPUTED_VALUE"""),46235.0)</f>
        <v>46235</v>
      </c>
      <c r="H67" s="40" t="str">
        <f>IFERROR(__xludf.DUMMYFUNCTION("""COMPUTED_VALUE"""),"UN")</f>
        <v>UN</v>
      </c>
      <c r="I67" s="45">
        <f>IFERROR(__xludf.DUMMYFUNCTION("""COMPUTED_VALUE"""),1.0)</f>
        <v>1</v>
      </c>
      <c r="J67" s="41">
        <f>IFERROR(__xludf.DUMMYFUNCTION("""COMPUTED_VALUE"""),30000.0)</f>
        <v>30000</v>
      </c>
      <c r="K67" s="41" t="str">
        <f>IFERROR(__xludf.DUMMYFUNCTION("""COMPUTED_VALUE"""),"SERVIDORA CIVIL GIULIANE MOREIRA, NF 3031942")</f>
        <v>SERVIDORA CIVIL GIULIANE MOREIRA, NF 3031942</v>
      </c>
    </row>
    <row r="68" ht="43.5" customHeight="1">
      <c r="A68" s="47" t="str">
        <f>IFERROR(__xludf.DUMMYFUNCTION("""COMPUTED_VALUE"""),"FUNPDEC")</f>
        <v>FUNPDEC</v>
      </c>
      <c r="B68" s="47" t="str">
        <f>IFERROR(__xludf.DUMMYFUNCTION("""COMPUTED_VALUE"""),"Serviços Técnicos Profissionais")</f>
        <v>Serviços Técnicos Profissionais</v>
      </c>
      <c r="C68" s="47" t="str">
        <f>IFERROR(__xludf.DUMMYFUNCTION("""COMPUTED_VALUE"""),"3 - OUTRAS DESPESAS CORRENTES")</f>
        <v>3 - OUTRAS DESPESAS CORRENTES</v>
      </c>
      <c r="D68" s="48" t="str">
        <f>IFERROR(__xludf.DUMMYFUNCTION("""COMPUTED_VALUE"""),"CEPDEC")</f>
        <v>CEPDEC</v>
      </c>
      <c r="E68" s="47" t="str">
        <f>IFERROR(__xludf.DUMMYFUNCTION("""COMPUTED_VALUE"""),"RECURSOS VINCULADOS DO TESOURO")</f>
        <v>RECURSOS VINCULADOS DO TESOURO</v>
      </c>
      <c r="F68" s="47" t="str">
        <f>IFERROR(__xludf.DUMMYFUNCTION("""COMPUTED_VALUE"""),"NOVA")</f>
        <v>NOVA</v>
      </c>
      <c r="G68" s="50">
        <f>IFERROR(__xludf.DUMMYFUNCTION("""COMPUTED_VALUE"""),46204.0)</f>
        <v>46204</v>
      </c>
      <c r="H68" s="47" t="str">
        <f>IFERROR(__xludf.DUMMYFUNCTION("""COMPUTED_VALUE"""),"UN")</f>
        <v>UN</v>
      </c>
      <c r="I68" s="52">
        <f>IFERROR(__xludf.DUMMYFUNCTION("""COMPUTED_VALUE"""),1.0)</f>
        <v>1</v>
      </c>
      <c r="J68" s="48">
        <f>IFERROR(__xludf.DUMMYFUNCTION("""COMPUTED_VALUE"""),5000.0)</f>
        <v>5000</v>
      </c>
      <c r="K68" s="48" t="str">
        <f>IFERROR(__xludf.DUMMYFUNCTION("""COMPUTED_VALUE"""),"MAJ QOCBM MARCIO DA COSTA CAVACHINI, NF 2758512")</f>
        <v>MAJ QOCBM MARCIO DA COSTA CAVACHINI, NF 2758512</v>
      </c>
    </row>
    <row r="69" ht="43.5" customHeight="1">
      <c r="A69" s="40" t="str">
        <f>IFERROR(__xludf.DUMMYFUNCTION("""COMPUTED_VALUE"""),"FUNPDEC")</f>
        <v>FUNPDEC</v>
      </c>
      <c r="B69" s="40" t="str">
        <f>IFERROR(__xludf.DUMMYFUNCTION("""COMPUTED_VALUE"""),"Serviços de consultoria")</f>
        <v>Serviços de consultoria</v>
      </c>
      <c r="C69" s="40" t="str">
        <f>IFERROR(__xludf.DUMMYFUNCTION("""COMPUTED_VALUE"""),"3 - OUTRAS DESPESAS CORRENTES")</f>
        <v>3 - OUTRAS DESPESAS CORRENTES</v>
      </c>
      <c r="D69" s="41" t="str">
        <f>IFERROR(__xludf.DUMMYFUNCTION("""COMPUTED_VALUE"""),"CEPDEC")</f>
        <v>CEPDEC</v>
      </c>
      <c r="E69" s="40" t="str">
        <f>IFERROR(__xludf.DUMMYFUNCTION("""COMPUTED_VALUE"""),"RECURSOS VINCULADOS DO TESOURO")</f>
        <v>RECURSOS VINCULADOS DO TESOURO</v>
      </c>
      <c r="F69" s="40" t="str">
        <f>IFERROR(__xludf.DUMMYFUNCTION("""COMPUTED_VALUE"""),"EXISTENTE A SER RENOVADA")</f>
        <v>EXISTENTE A SER RENOVADA</v>
      </c>
      <c r="G69" s="43">
        <f>IFERROR(__xludf.DUMMYFUNCTION("""COMPUTED_VALUE"""),46266.0)</f>
        <v>46266</v>
      </c>
      <c r="H69" s="40" t="str">
        <f>IFERROR(__xludf.DUMMYFUNCTION("""COMPUTED_VALUE"""),"mensal")</f>
        <v>mensal</v>
      </c>
      <c r="I69" s="45">
        <f>IFERROR(__xludf.DUMMYFUNCTION("""COMPUTED_VALUE"""),12.0)</f>
        <v>12</v>
      </c>
      <c r="J69" s="41">
        <f>IFERROR(__xludf.DUMMYFUNCTION("""COMPUTED_VALUE"""),5900000.0)</f>
        <v>5900000</v>
      </c>
      <c r="K69" s="41" t="str">
        <f>IFERROR(__xludf.DUMMYFUNCTION("""COMPUTED_VALUE"""),"1º TEN QOCBM TIAGO VITORINO HORTA, NF 3592081")</f>
        <v>1º TEN QOCBM TIAGO VITORINO HORTA, NF 3592081</v>
      </c>
    </row>
    <row r="70" ht="43.5" customHeight="1">
      <c r="A70" s="47" t="str">
        <f>IFERROR(__xludf.DUMMYFUNCTION("""COMPUTED_VALUE"""),"FUNPDEC")</f>
        <v>FUNPDEC</v>
      </c>
      <c r="B70" s="47" t="str">
        <f>IFERROR(__xludf.DUMMYFUNCTION("""COMPUTED_VALUE"""),"TI - Equipamentos de Processamento de Dados")</f>
        <v>TI - Equipamentos de Processamento de Dados</v>
      </c>
      <c r="C70" s="47" t="str">
        <f>IFERROR(__xludf.DUMMYFUNCTION("""COMPUTED_VALUE"""),"4 - INVESTIMENTOS")</f>
        <v>4 - INVESTIMENTOS</v>
      </c>
      <c r="D70" s="48" t="str">
        <f>IFERROR(__xludf.DUMMYFUNCTION("""COMPUTED_VALUE"""),"CEPDEC")</f>
        <v>CEPDEC</v>
      </c>
      <c r="E70" s="47" t="str">
        <f>IFERROR(__xludf.DUMMYFUNCTION("""COMPUTED_VALUE"""),"RECURSOS VINCULADOS DO TESOURO")</f>
        <v>RECURSOS VINCULADOS DO TESOURO</v>
      </c>
      <c r="F70" s="47" t="str">
        <f>IFERROR(__xludf.DUMMYFUNCTION("""COMPUTED_VALUE"""),"NOVA")</f>
        <v>NOVA</v>
      </c>
      <c r="G70" s="50">
        <f>IFERROR(__xludf.DUMMYFUNCTION("""COMPUTED_VALUE"""),46174.0)</f>
        <v>46174</v>
      </c>
      <c r="H70" s="47" t="str">
        <f>IFERROR(__xludf.DUMMYFUNCTION("""COMPUTED_VALUE"""),"UN")</f>
        <v>UN</v>
      </c>
      <c r="I70" s="52">
        <f>IFERROR(__xludf.DUMMYFUNCTION("""COMPUTED_VALUE"""),100.0)</f>
        <v>100</v>
      </c>
      <c r="J70" s="48">
        <f>IFERROR(__xludf.DUMMYFUNCTION("""COMPUTED_VALUE"""),643000.0)</f>
        <v>643000</v>
      </c>
      <c r="K70" s="48" t="str">
        <f>IFERROR(__xludf.DUMMYFUNCTION("""COMPUTED_VALUE"""),"MAJ QOCBM MARCIO DA COSTA CAVACHINI, NF 2758512")</f>
        <v>MAJ QOCBM MARCIO DA COSTA CAVACHINI, NF 2758512</v>
      </c>
    </row>
    <row r="71" ht="43.5" customHeight="1">
      <c r="A71" s="40" t="str">
        <f>IFERROR(__xludf.DUMMYFUNCTION("""COMPUTED_VALUE"""),"FUNPDEC")</f>
        <v>FUNPDEC</v>
      </c>
      <c r="B71" s="40" t="str">
        <f>IFERROR(__xludf.DUMMYFUNCTION("""COMPUTED_VALUE"""),"TI - Locações / Aquisição de Softwares")</f>
        <v>TI - Locações / Aquisição de Softwares</v>
      </c>
      <c r="C71" s="40" t="str">
        <f>IFERROR(__xludf.DUMMYFUNCTION("""COMPUTED_VALUE"""),"3 - OUTRAS DESPESAS CORRENTES")</f>
        <v>3 - OUTRAS DESPESAS CORRENTES</v>
      </c>
      <c r="D71" s="41" t="str">
        <f>IFERROR(__xludf.DUMMYFUNCTION("""COMPUTED_VALUE"""),"CEPDEC")</f>
        <v>CEPDEC</v>
      </c>
      <c r="E71" s="40" t="str">
        <f>IFERROR(__xludf.DUMMYFUNCTION("""COMPUTED_VALUE"""),"RECURSOS VINCULADOS DO TESOURO")</f>
        <v>RECURSOS VINCULADOS DO TESOURO</v>
      </c>
      <c r="F71" s="40" t="str">
        <f>IFERROR(__xludf.DUMMYFUNCTION("""COMPUTED_VALUE"""),"NOVA")</f>
        <v>NOVA</v>
      </c>
      <c r="G71" s="43">
        <f>IFERROR(__xludf.DUMMYFUNCTION("""COMPUTED_VALUE"""),46235.0)</f>
        <v>46235</v>
      </c>
      <c r="H71" s="40" t="str">
        <f>IFERROR(__xludf.DUMMYFUNCTION("""COMPUTED_VALUE"""),"UN")</f>
        <v>UN</v>
      </c>
      <c r="I71" s="45">
        <f>IFERROR(__xludf.DUMMYFUNCTION("""COMPUTED_VALUE"""),1.0)</f>
        <v>1</v>
      </c>
      <c r="J71" s="41">
        <f>IFERROR(__xludf.DUMMYFUNCTION("""COMPUTED_VALUE"""),1200.0)</f>
        <v>1200</v>
      </c>
      <c r="K71" s="41" t="str">
        <f>IFERROR(__xludf.DUMMYFUNCTION("""COMPUTED_VALUE"""),"MAJ QOCBM MARCIO DA COSTA CAVACHINI, NF 2758512")</f>
        <v>MAJ QOCBM MARCIO DA COSTA CAVACHINI, NF 2758512</v>
      </c>
    </row>
    <row r="72" ht="43.5" customHeight="1">
      <c r="A72" s="47" t="str">
        <f>IFERROR(__xludf.DUMMYFUNCTION("""COMPUTED_VALUE"""),"FUNPDEC")</f>
        <v>FUNPDEC</v>
      </c>
      <c r="B72" s="47" t="str">
        <f>IFERROR(__xludf.DUMMYFUNCTION("""COMPUTED_VALUE"""),"TI: Locações de Softwares")</f>
        <v>TI: Locações de Softwares</v>
      </c>
      <c r="C72" s="47" t="str">
        <f>IFERROR(__xludf.DUMMYFUNCTION("""COMPUTED_VALUE"""),"3 - OUTRAS DESPESAS CORRENTES")</f>
        <v>3 - OUTRAS DESPESAS CORRENTES</v>
      </c>
      <c r="D72" s="48" t="str">
        <f>IFERROR(__xludf.DUMMYFUNCTION("""COMPUTED_VALUE"""),"CEPDEC")</f>
        <v>CEPDEC</v>
      </c>
      <c r="E72" s="47" t="str">
        <f>IFERROR(__xludf.DUMMYFUNCTION("""COMPUTED_VALUE"""),"RECURSOS VINCULADOS DO TESOURO")</f>
        <v>RECURSOS VINCULADOS DO TESOURO</v>
      </c>
      <c r="F72" s="47" t="str">
        <f>IFERROR(__xludf.DUMMYFUNCTION("""COMPUTED_VALUE"""),"NOVA")</f>
        <v>NOVA</v>
      </c>
      <c r="G72" s="50">
        <f>IFERROR(__xludf.DUMMYFUNCTION("""COMPUTED_VALUE"""),46174.0)</f>
        <v>46174</v>
      </c>
      <c r="H72" s="47" t="str">
        <f>IFERROR(__xludf.DUMMYFUNCTION("""COMPUTED_VALUE"""),"UN")</f>
        <v>UN</v>
      </c>
      <c r="I72" s="52">
        <f>IFERROR(__xludf.DUMMYFUNCTION("""COMPUTED_VALUE"""),5.0)</f>
        <v>5</v>
      </c>
      <c r="J72" s="48">
        <f>IFERROR(__xludf.DUMMYFUNCTION("""COMPUTED_VALUE"""),35177.0)</f>
        <v>35177</v>
      </c>
      <c r="K72" s="48" t="str">
        <f>IFERROR(__xludf.DUMMYFUNCTION("""COMPUTED_VALUE"""),"MAJ QOCBM MARCIO DA COSTA CAVACHINI, NF 2758512")</f>
        <v>MAJ QOCBM MARCIO DA COSTA CAVACHINI, NF 2758512</v>
      </c>
    </row>
    <row r="73" ht="43.5" customHeight="1">
      <c r="A73" s="40" t="str">
        <f>IFERROR(__xludf.DUMMYFUNCTION("""COMPUTED_VALUE"""),"FUNPDEC")</f>
        <v>FUNPDEC</v>
      </c>
      <c r="B73" s="40" t="str">
        <f>IFERROR(__xludf.DUMMYFUNCTION("""COMPUTED_VALUE"""),"TI: Material de Processamento de Dados ")</f>
        <v>TI: Material de Processamento de Dados </v>
      </c>
      <c r="C73" s="40" t="str">
        <f>IFERROR(__xludf.DUMMYFUNCTION("""COMPUTED_VALUE"""),"3 - OUTRAS DESPESAS CORRENTES")</f>
        <v>3 - OUTRAS DESPESAS CORRENTES</v>
      </c>
      <c r="D73" s="41" t="str">
        <f>IFERROR(__xludf.DUMMYFUNCTION("""COMPUTED_VALUE"""),"GTI 2026")</f>
        <v>GTI 2026</v>
      </c>
      <c r="E73" s="40" t="str">
        <f>IFERROR(__xludf.DUMMYFUNCTION("""COMPUTED_VALUE"""),"RECURSOS VINCULADOS DO TESOURO")</f>
        <v>RECURSOS VINCULADOS DO TESOURO</v>
      </c>
      <c r="F73" s="40" t="str">
        <f>IFERROR(__xludf.DUMMYFUNCTION("""COMPUTED_VALUE"""),"NOVA")</f>
        <v>NOVA</v>
      </c>
      <c r="G73" s="43">
        <f>IFERROR(__xludf.DUMMYFUNCTION("""COMPUTED_VALUE"""),46235.0)</f>
        <v>46235</v>
      </c>
      <c r="H73" s="40" t="str">
        <f>IFERROR(__xludf.DUMMYFUNCTION("""COMPUTED_VALUE"""),"UN")</f>
        <v>UN</v>
      </c>
      <c r="I73" s="45">
        <f>IFERROR(__xludf.DUMMYFUNCTION("""COMPUTED_VALUE"""),42.0)</f>
        <v>42</v>
      </c>
      <c r="J73" s="41">
        <f>IFERROR(__xludf.DUMMYFUNCTION("""COMPUTED_VALUE"""),19900.0)</f>
        <v>19900</v>
      </c>
      <c r="K73" s="41" t="str">
        <f>IFERROR(__xludf.DUMMYFUNCTION("""COMPUTED_VALUE"""),"SERVIDORA CIVIL GIULIANE MOREIRA, NF 3031942")</f>
        <v>SERVIDORA CIVIL GIULIANE MOREIRA, NF 3031942</v>
      </c>
    </row>
    <row r="74" ht="43.5" customHeight="1">
      <c r="A74" s="47" t="str">
        <f>IFERROR(__xludf.DUMMYFUNCTION("""COMPUTED_VALUE"""),"FUNREBOM")</f>
        <v>FUNREBOM</v>
      </c>
      <c r="B74" s="47" t="str">
        <f>IFERROR(__xludf.DUMMYFUNCTION("""COMPUTED_VALUE"""),"Aparelhos e Equipamentos para Esportes e Diversos")</f>
        <v>Aparelhos e Equipamentos para Esportes e Diversos</v>
      </c>
      <c r="C74" s="47" t="str">
        <f>IFERROR(__xludf.DUMMYFUNCTION("""COMPUTED_VALUE"""),"3 - OUTRAS DESPESAS CORRENTES")</f>
        <v>3 - OUTRAS DESPESAS CORRENTES</v>
      </c>
      <c r="D74" s="48" t="str">
        <f>IFERROR(__xludf.DUMMYFUNCTION("""COMPUTED_VALUE"""),"2° CIA IND")</f>
        <v>2° CIA IND</v>
      </c>
      <c r="E74" s="47" t="str">
        <f>IFERROR(__xludf.DUMMYFUNCTION("""COMPUTED_VALUE"""),"RECURSOS DE CAIXA DO TESOURO")</f>
        <v>RECURSOS DE CAIXA DO TESOURO</v>
      </c>
      <c r="F74" s="47" t="str">
        <f>IFERROR(__xludf.DUMMYFUNCTION("""COMPUTED_VALUE"""),"NOVA")</f>
        <v>NOVA</v>
      </c>
      <c r="G74" s="50">
        <f>IFERROR(__xludf.DUMMYFUNCTION("""COMPUTED_VALUE"""),46174.0)</f>
        <v>46174</v>
      </c>
      <c r="H74" s="47" t="str">
        <f>IFERROR(__xludf.DUMMYFUNCTION("""COMPUTED_VALUE"""),"UN")</f>
        <v>UN</v>
      </c>
      <c r="I74" s="52">
        <f>IFERROR(__xludf.DUMMYFUNCTION("""COMPUTED_VALUE"""),9.0)</f>
        <v>9</v>
      </c>
      <c r="J74" s="48">
        <f>IFERROR(__xludf.DUMMYFUNCTION("""COMPUTED_VALUE"""),4500.0)</f>
        <v>4500</v>
      </c>
      <c r="K74" s="48" t="str">
        <f>IFERROR(__xludf.DUMMYFUNCTION("""COMPUTED_VALUE"""),"SERVIDORA CIVIL ALESSANDRA SANT´ANNA RUFINO, NF 2956667")</f>
        <v>SERVIDORA CIVIL ALESSANDRA SANT´ANNA RUFINO, NF 2956667</v>
      </c>
    </row>
    <row r="75" ht="43.5" customHeight="1">
      <c r="A75" s="40" t="str">
        <f>IFERROR(__xludf.DUMMYFUNCTION("""COMPUTED_VALUE"""),"FUNREBOM")</f>
        <v>FUNREBOM</v>
      </c>
      <c r="B75" s="40" t="str">
        <f>IFERROR(__xludf.DUMMYFUNCTION("""COMPUTED_VALUE"""),"Aparelhos e Utensílios Domésticos")</f>
        <v>Aparelhos e Utensílios Domésticos</v>
      </c>
      <c r="C75" s="40" t="str">
        <f>IFERROR(__xludf.DUMMYFUNCTION("""COMPUTED_VALUE"""),"4 - INVESTIMENTOS")</f>
        <v>4 - INVESTIMENTOS</v>
      </c>
      <c r="D75" s="41" t="str">
        <f>IFERROR(__xludf.DUMMYFUNCTION("""COMPUTED_VALUE"""),"CAT")</f>
        <v>CAT</v>
      </c>
      <c r="E75" s="40" t="str">
        <f>IFERROR(__xludf.DUMMYFUNCTION("""COMPUTED_VALUE"""),"RECURSOS DE CAIXA DO TESOURO")</f>
        <v>RECURSOS DE CAIXA DO TESOURO</v>
      </c>
      <c r="F75" s="40" t="str">
        <f>IFERROR(__xludf.DUMMYFUNCTION("""COMPUTED_VALUE"""),"NOVA")</f>
        <v>NOVA</v>
      </c>
      <c r="G75" s="43">
        <f>IFERROR(__xludf.DUMMYFUNCTION("""COMPUTED_VALUE"""),46031.0)</f>
        <v>46031</v>
      </c>
      <c r="H75" s="40" t="str">
        <f>IFERROR(__xludf.DUMMYFUNCTION("""COMPUTED_VALUE"""),"UN")</f>
        <v>UN</v>
      </c>
      <c r="I75" s="45">
        <f>IFERROR(__xludf.DUMMYFUNCTION("""COMPUTED_VALUE"""),1.0)</f>
        <v>1</v>
      </c>
      <c r="J75" s="41">
        <f>IFERROR(__xludf.DUMMYFUNCTION("""COMPUTED_VALUE"""),3000.0)</f>
        <v>3000</v>
      </c>
      <c r="K75" s="41" t="str">
        <f>IFERROR(__xludf.DUMMYFUNCTION("""COMPUTED_VALUE"""),"CAP QOCBM GUILHERME MARTINELLI SCHULZ, NF 3693864")</f>
        <v>CAP QOCBM GUILHERME MARTINELLI SCHULZ, NF 3693864</v>
      </c>
    </row>
    <row r="76" ht="43.5" customHeight="1">
      <c r="A76" s="47" t="str">
        <f>IFERROR(__xludf.DUMMYFUNCTION("""COMPUTED_VALUE"""),"FUNREBOM")</f>
        <v>FUNREBOM</v>
      </c>
      <c r="B76" s="47" t="str">
        <f>IFERROR(__xludf.DUMMYFUNCTION("""COMPUTED_VALUE"""),"Aquisição de viaturas e acessórios")</f>
        <v>Aquisição de viaturas e acessórios</v>
      </c>
      <c r="C76" s="47" t="str">
        <f>IFERROR(__xludf.DUMMYFUNCTION("""COMPUTED_VALUE"""),"4 - INVESTIMENTOS")</f>
        <v>4 - INVESTIMENTOS</v>
      </c>
      <c r="D76" s="48" t="str">
        <f>IFERROR(__xludf.DUMMYFUNCTION("""COMPUTED_VALUE"""),"DEPMAT 2026")</f>
        <v>DEPMAT 2026</v>
      </c>
      <c r="E76" s="47" t="str">
        <f>IFERROR(__xludf.DUMMYFUNCTION("""COMPUTED_VALUE"""),"RECURSOS EXTRAORÇAMENTÁRIOS")</f>
        <v>RECURSOS EXTRAORÇAMENTÁRIOS</v>
      </c>
      <c r="F76" s="47" t="str">
        <f>IFERROR(__xludf.DUMMYFUNCTION("""COMPUTED_VALUE"""),"NOVA")</f>
        <v>NOVA</v>
      </c>
      <c r="G76" s="50">
        <f>IFERROR(__xludf.DUMMYFUNCTION("""COMPUTED_VALUE"""),46266.0)</f>
        <v>46266</v>
      </c>
      <c r="H76" s="47" t="str">
        <f>IFERROR(__xludf.DUMMYFUNCTION("""COMPUTED_VALUE"""),"UN")</f>
        <v>UN</v>
      </c>
      <c r="I76" s="52">
        <f>IFERROR(__xludf.DUMMYFUNCTION("""COMPUTED_VALUE"""),1.0)</f>
        <v>1</v>
      </c>
      <c r="J76" s="48">
        <f>IFERROR(__xludf.DUMMYFUNCTION("""COMPUTED_VALUE"""),2000000.0)</f>
        <v>2000000</v>
      </c>
      <c r="K76" s="48" t="str">
        <f>IFERROR(__xludf.DUMMYFUNCTION("""COMPUTED_VALUE"""),"SERVIDORA CIVIL GIULIANE MOREIRA, NF 3031942")</f>
        <v>SERVIDORA CIVIL GIULIANE MOREIRA, NF 3031942</v>
      </c>
    </row>
    <row r="77" ht="43.5" customHeight="1">
      <c r="A77" s="105" t="str">
        <f>IFERROR(__xludf.DUMMYFUNCTION("""COMPUTED_VALUE"""),"FUNREBOM")</f>
        <v>FUNREBOM</v>
      </c>
      <c r="B77" s="105" t="str">
        <f>IFERROR(__xludf.DUMMYFUNCTION("""COMPUTED_VALUE"""),"Bandeiras, Flâmulas e Insígnias ")</f>
        <v>Bandeiras, Flâmulas e Insígnias </v>
      </c>
      <c r="C77" s="105" t="str">
        <f>IFERROR(__xludf.DUMMYFUNCTION("""COMPUTED_VALUE"""),"3 - OUTRAS DESPESAS CORRENTES")</f>
        <v>3 - OUTRAS DESPESAS CORRENTES</v>
      </c>
      <c r="D77" s="106" t="str">
        <f>IFERROR(__xludf.DUMMYFUNCTION("""COMPUTED_VALUE"""),"ALMOXARIFADO")</f>
        <v>ALMOXARIFADO</v>
      </c>
      <c r="E77" s="105" t="str">
        <f>IFERROR(__xludf.DUMMYFUNCTION("""COMPUTED_VALUE"""),"RECURSOS DE CAIXA DO TESOURO")</f>
        <v>RECURSOS DE CAIXA DO TESOURO</v>
      </c>
      <c r="F77" s="105" t="str">
        <f>IFERROR(__xludf.DUMMYFUNCTION("""COMPUTED_VALUE"""),"NOVA")</f>
        <v>NOVA</v>
      </c>
      <c r="G77" s="107">
        <f>IFERROR(__xludf.DUMMYFUNCTION("""COMPUTED_VALUE"""),46204.0)</f>
        <v>46204</v>
      </c>
      <c r="H77" s="105" t="str">
        <f>IFERROR(__xludf.DUMMYFUNCTION("""COMPUTED_VALUE"""),"UN")</f>
        <v>UN</v>
      </c>
      <c r="I77" s="108">
        <f>IFERROR(__xludf.DUMMYFUNCTION("""COMPUTED_VALUE"""),138.0)</f>
        <v>138</v>
      </c>
      <c r="J77" s="106">
        <f>IFERROR(__xludf.DUMMYFUNCTION("""COMPUTED_VALUE"""),24840.0)</f>
        <v>24840</v>
      </c>
      <c r="K77" s="106" t="str">
        <f>IFERROR(__xludf.DUMMYFUNCTION("""COMPUTED_VALUE"""),"2º TEN QOABM SONALY WESLENY DE FÁTIMA DA SILVA RIBEIRO, NF 903842")</f>
        <v>2º TEN QOABM SONALY WESLENY DE FÁTIMA DA SILVA RIBEIRO, NF 903842</v>
      </c>
    </row>
    <row r="78" ht="43.5" customHeight="1">
      <c r="A78" s="109" t="str">
        <f>IFERROR(__xludf.DUMMYFUNCTION("""COMPUTED_VALUE"""),"FUNREBOM")</f>
        <v>FUNREBOM</v>
      </c>
      <c r="B78" s="109" t="str">
        <f>IFERROR(__xludf.DUMMYFUNCTION("""COMPUTED_VALUE"""),"CARTÓRIO E DOCUMENTAÇÕES")</f>
        <v>CARTÓRIO E DOCUMENTAÇÕES</v>
      </c>
      <c r="C78" s="109" t="str">
        <f>IFERROR(__xludf.DUMMYFUNCTION("""COMPUTED_VALUE"""),"3 - OUTRAS DESPESAS CORRENTES")</f>
        <v>3 - OUTRAS DESPESAS CORRENTES</v>
      </c>
      <c r="D78" s="110" t="str">
        <f>IFERROR(__xludf.DUMMYFUNCTION("""COMPUTED_VALUE"""),"SCAR")</f>
        <v>SCAR</v>
      </c>
      <c r="E78" s="109" t="str">
        <f>IFERROR(__xludf.DUMMYFUNCTION("""COMPUTED_VALUE"""),"RECURSOS VINCULADOS DO TESOURO")</f>
        <v>RECURSOS VINCULADOS DO TESOURO</v>
      </c>
      <c r="F78" s="109" t="str">
        <f>IFERROR(__xludf.DUMMYFUNCTION("""COMPUTED_VALUE"""),"NOVA")</f>
        <v>NOVA</v>
      </c>
      <c r="G78" s="111">
        <f>IFERROR(__xludf.DUMMYFUNCTION("""COMPUTED_VALUE"""),46266.0)</f>
        <v>46266</v>
      </c>
      <c r="H78" s="109" t="str">
        <f>IFERROR(__xludf.DUMMYFUNCTION("""COMPUTED_VALUE"""),"UN")</f>
        <v>UN</v>
      </c>
      <c r="I78" s="112">
        <f>IFERROR(__xludf.DUMMYFUNCTION("""COMPUTED_VALUE"""),41.0)</f>
        <v>41</v>
      </c>
      <c r="J78" s="110">
        <f>IFERROR(__xludf.DUMMYFUNCTION("""COMPUTED_VALUE"""),108000.0)</f>
        <v>108000</v>
      </c>
      <c r="K78" s="110" t="str">
        <f>IFERROR(__xludf.DUMMYFUNCTION("""COMPUTED_VALUE"""),"CAP QOABM RR SAULO DE TARCIO CORREA LIMA, NF 900798")</f>
        <v>CAP QOABM RR SAULO DE TARCIO CORREA LIMA, NF 900798</v>
      </c>
    </row>
    <row r="79" ht="43.5" customHeight="1">
      <c r="A79" s="105" t="str">
        <f>IFERROR(__xludf.DUMMYFUNCTION("""COMPUTED_VALUE"""),"FUNREBOM")</f>
        <v>FUNREBOM</v>
      </c>
      <c r="B79" s="105" t="str">
        <f>IFERROR(__xludf.DUMMYFUNCTION("""COMPUTED_VALUE"""),"CONTRATO DE MANUTENÇÃO DAS PLATAFORMAS")</f>
        <v>CONTRATO DE MANUTENÇÃO DAS PLATAFORMAS</v>
      </c>
      <c r="C79" s="105" t="str">
        <f>IFERROR(__xludf.DUMMYFUNCTION("""COMPUTED_VALUE"""),"3 - OUTRAS DESPESAS CORRENTES")</f>
        <v>3 - OUTRAS DESPESAS CORRENTES</v>
      </c>
      <c r="D79" s="106" t="str">
        <f>IFERROR(__xludf.DUMMYFUNCTION("""COMPUTED_VALUE"""),"DEPMAT 2026")</f>
        <v>DEPMAT 2026</v>
      </c>
      <c r="E79" s="105" t="str">
        <f>IFERROR(__xludf.DUMMYFUNCTION("""COMPUTED_VALUE"""),"RECURSOS VINCULADOS DO TESOURO")</f>
        <v>RECURSOS VINCULADOS DO TESOURO</v>
      </c>
      <c r="F79" s="105" t="str">
        <f>IFERROR(__xludf.DUMMYFUNCTION("""COMPUTED_VALUE"""),"NOVA")</f>
        <v>NOVA</v>
      </c>
      <c r="G79" s="107">
        <f>IFERROR(__xludf.DUMMYFUNCTION("""COMPUTED_VALUE"""),46266.0)</f>
        <v>46266</v>
      </c>
      <c r="H79" s="105" t="str">
        <f>IFERROR(__xludf.DUMMYFUNCTION("""COMPUTED_VALUE"""),"UN")</f>
        <v>UN</v>
      </c>
      <c r="I79" s="108">
        <f>IFERROR(__xludf.DUMMYFUNCTION("""COMPUTED_VALUE"""),1.0)</f>
        <v>1</v>
      </c>
      <c r="J79" s="106">
        <f>IFERROR(__xludf.DUMMYFUNCTION("""COMPUTED_VALUE"""),350000.0)</f>
        <v>350000</v>
      </c>
      <c r="K79" s="106" t="str">
        <f>IFERROR(__xludf.DUMMYFUNCTION("""COMPUTED_VALUE"""),"CAP QOCBM GUILHERME MARTINELLI SCHULZ, NF 3693864;")</f>
        <v>CAP QOCBM GUILHERME MARTINELLI SCHULZ, NF 3693864;</v>
      </c>
    </row>
    <row r="80" ht="43.5" customHeight="1">
      <c r="A80" s="109" t="str">
        <f>IFERROR(__xludf.DUMMYFUNCTION("""COMPUTED_VALUE"""),"FUNREBOM")</f>
        <v>FUNREBOM</v>
      </c>
      <c r="B80" s="109" t="str">
        <f>IFERROR(__xludf.DUMMYFUNCTION("""COMPUTED_VALUE"""),"CONTRATO PARA PLOTAGEM DE VIATURAS")</f>
        <v>CONTRATO PARA PLOTAGEM DE VIATURAS</v>
      </c>
      <c r="C80" s="109" t="str">
        <f>IFERROR(__xludf.DUMMYFUNCTION("""COMPUTED_VALUE"""),"3 - OUTRAS DESPESAS CORRENTES")</f>
        <v>3 - OUTRAS DESPESAS CORRENTES</v>
      </c>
      <c r="D80" s="110" t="str">
        <f>IFERROR(__xludf.DUMMYFUNCTION("""COMPUTED_VALUE"""),"DEPMAT 2026")</f>
        <v>DEPMAT 2026</v>
      </c>
      <c r="E80" s="109" t="str">
        <f>IFERROR(__xludf.DUMMYFUNCTION("""COMPUTED_VALUE"""),"RECURSOS VINCULADOS DO TESOURO")</f>
        <v>RECURSOS VINCULADOS DO TESOURO</v>
      </c>
      <c r="F80" s="109" t="str">
        <f>IFERROR(__xludf.DUMMYFUNCTION("""COMPUTED_VALUE"""),"NOVA")</f>
        <v>NOVA</v>
      </c>
      <c r="G80" s="111">
        <f>IFERROR(__xludf.DUMMYFUNCTION("""COMPUTED_VALUE"""),46266.0)</f>
        <v>46266</v>
      </c>
      <c r="H80" s="109" t="str">
        <f>IFERROR(__xludf.DUMMYFUNCTION("""COMPUTED_VALUE"""),"UN")</f>
        <v>UN</v>
      </c>
      <c r="I80" s="112">
        <f>IFERROR(__xludf.DUMMYFUNCTION("""COMPUTED_VALUE"""),1.0)</f>
        <v>1</v>
      </c>
      <c r="J80" s="110">
        <f>IFERROR(__xludf.DUMMYFUNCTION("""COMPUTED_VALUE"""),50000.0)</f>
        <v>50000</v>
      </c>
      <c r="K80" s="110" t="str">
        <f>IFERROR(__xludf.DUMMYFUNCTION("""COMPUTED_VALUE"""),"CAP QOCBM GUILHERME MARTINELLI SCHULZ, NF 3693864")</f>
        <v>CAP QOCBM GUILHERME MARTINELLI SCHULZ, NF 3693864</v>
      </c>
    </row>
    <row r="81" ht="43.5" customHeight="1">
      <c r="A81" s="105" t="str">
        <f>IFERROR(__xludf.DUMMYFUNCTION("""COMPUTED_VALUE"""),"FUNREBOM")</f>
        <v>FUNREBOM</v>
      </c>
      <c r="B81" s="105" t="str">
        <f>IFERROR(__xludf.DUMMYFUNCTION("""COMPUTED_VALUE"""),"Consultoria Técnica ")</f>
        <v>Consultoria Técnica </v>
      </c>
      <c r="C81" s="105" t="str">
        <f>IFERROR(__xludf.DUMMYFUNCTION("""COMPUTED_VALUE"""),"3 - OUTRAS DESPESAS CORRENTES")</f>
        <v>3 - OUTRAS DESPESAS CORRENTES</v>
      </c>
      <c r="D81" s="106" t="str">
        <f>IFERROR(__xludf.DUMMYFUNCTION("""COMPUTED_VALUE"""),"GEA 2026")</f>
        <v>GEA 2026</v>
      </c>
      <c r="E81" s="105" t="str">
        <f>IFERROR(__xludf.DUMMYFUNCTION("""COMPUTED_VALUE"""),"RECURSOS DE CAIXA DO TESOURO")</f>
        <v>RECURSOS DE CAIXA DO TESOURO</v>
      </c>
      <c r="F81" s="105" t="str">
        <f>IFERROR(__xludf.DUMMYFUNCTION("""COMPUTED_VALUE"""),"NOVA")</f>
        <v>NOVA</v>
      </c>
      <c r="G81" s="107">
        <f>IFERROR(__xludf.DUMMYFUNCTION("""COMPUTED_VALUE"""),46266.0)</f>
        <v>46266</v>
      </c>
      <c r="H81" s="105" t="str">
        <f>IFERROR(__xludf.DUMMYFUNCTION("""COMPUTED_VALUE"""),"UN")</f>
        <v>UN</v>
      </c>
      <c r="I81" s="108">
        <f>IFERROR(__xludf.DUMMYFUNCTION("""COMPUTED_VALUE"""),11.0)</f>
        <v>11</v>
      </c>
      <c r="J81" s="106">
        <f>IFERROR(__xludf.DUMMYFUNCTION("""COMPUTED_VALUE"""),100000.0)</f>
        <v>100000</v>
      </c>
      <c r="K81" s="106" t="str">
        <f>IFERROR(__xludf.DUMMYFUNCTION("""COMPUTED_VALUE"""),"1º TEN QOABM BRUNO DA SILVA BOREL, NF 903246")</f>
        <v>1º TEN QOABM BRUNO DA SILVA BOREL, NF 903246</v>
      </c>
    </row>
    <row r="82" ht="43.5" customHeight="1">
      <c r="A82" s="109" t="str">
        <f>IFERROR(__xludf.DUMMYFUNCTION("""COMPUTED_VALUE"""),"FUNREBOM")</f>
        <v>FUNREBOM</v>
      </c>
      <c r="B82" s="109" t="str">
        <f>IFERROR(__xludf.DUMMYFUNCTION("""COMPUTED_VALUE"""),"Contratação de serviços de telecomunicações")</f>
        <v>Contratação de serviços de telecomunicações</v>
      </c>
      <c r="C82" s="109" t="str">
        <f>IFERROR(__xludf.DUMMYFUNCTION("""COMPUTED_VALUE"""),"3 - OUTRAS DESPESAS CORRENTES")</f>
        <v>3 - OUTRAS DESPESAS CORRENTES</v>
      </c>
      <c r="D82" s="110" t="str">
        <f>IFERROR(__xludf.DUMMYFUNCTION("""COMPUTED_VALUE"""),"6°BBM")</f>
        <v>6°BBM</v>
      </c>
      <c r="E82" s="109" t="str">
        <f>IFERROR(__xludf.DUMMYFUNCTION("""COMPUTED_VALUE"""),"RECURSOS VINCULADOS DO TESOURO")</f>
        <v>RECURSOS VINCULADOS DO TESOURO</v>
      </c>
      <c r="F82" s="109" t="str">
        <f>IFERROR(__xludf.DUMMYFUNCTION("""COMPUTED_VALUE"""),"NOVA")</f>
        <v>NOVA</v>
      </c>
      <c r="G82" s="111">
        <f>IFERROR(__xludf.DUMMYFUNCTION("""COMPUTED_VALUE"""),46204.0)</f>
        <v>46204</v>
      </c>
      <c r="H82" s="109" t="str">
        <f>IFERROR(__xludf.DUMMYFUNCTION("""COMPUTED_VALUE"""),"UN")</f>
        <v>UN</v>
      </c>
      <c r="I82" s="112">
        <f>IFERROR(__xludf.DUMMYFUNCTION("""COMPUTED_VALUE"""),1.0)</f>
        <v>1</v>
      </c>
      <c r="J82" s="110">
        <f>IFERROR(__xludf.DUMMYFUNCTION("""COMPUTED_VALUE"""),5000.0)</f>
        <v>5000</v>
      </c>
      <c r="K82" s="110" t="str">
        <f>IFERROR(__xludf.DUMMYFUNCTION("""COMPUTED_VALUE"""),"MAJ QOCBM MARCIO DA COSTA CAVACHINI, NF 2758512")</f>
        <v>MAJ QOCBM MARCIO DA COSTA CAVACHINI, NF 2758512</v>
      </c>
    </row>
    <row r="83" ht="43.5" customHeight="1">
      <c r="A83" s="105" t="str">
        <f>IFERROR(__xludf.DUMMYFUNCTION("""COMPUTED_VALUE"""),"FUNREBOM")</f>
        <v>FUNREBOM</v>
      </c>
      <c r="B83" s="105" t="str">
        <f>IFERROR(__xludf.DUMMYFUNCTION("""COMPUTED_VALUE"""),"Contratos de abastecimentos")</f>
        <v>Contratos de abastecimentos</v>
      </c>
      <c r="C83" s="105" t="str">
        <f>IFERROR(__xludf.DUMMYFUNCTION("""COMPUTED_VALUE"""),"3 - OUTRAS DESPESAS CORRENTES")</f>
        <v>3 - OUTRAS DESPESAS CORRENTES</v>
      </c>
      <c r="D83" s="106" t="str">
        <f>IFERROR(__xludf.DUMMYFUNCTION("""COMPUTED_VALUE"""),"SCC")</f>
        <v>SCC</v>
      </c>
      <c r="E83" s="105" t="str">
        <f>IFERROR(__xludf.DUMMYFUNCTION("""COMPUTED_VALUE"""),"RECURSOS VINCULADOS DO TESOURO")</f>
        <v>RECURSOS VINCULADOS DO TESOURO</v>
      </c>
      <c r="F83" s="105" t="str">
        <f>IFERROR(__xludf.DUMMYFUNCTION("""COMPUTED_VALUE"""),"NOVA")</f>
        <v>NOVA</v>
      </c>
      <c r="G83" s="107">
        <f>IFERROR(__xludf.DUMMYFUNCTION("""COMPUTED_VALUE"""),46266.0)</f>
        <v>46266</v>
      </c>
      <c r="H83" s="105" t="str">
        <f>IFERROR(__xludf.DUMMYFUNCTION("""COMPUTED_VALUE"""),"UN")</f>
        <v>UN</v>
      </c>
      <c r="I83" s="108">
        <f>IFERROR(__xludf.DUMMYFUNCTION("""COMPUTED_VALUE"""),2.0)</f>
        <v>2</v>
      </c>
      <c r="J83" s="106">
        <f>IFERROR(__xludf.DUMMYFUNCTION("""COMPUTED_VALUE"""),3720000.0)</f>
        <v>3720000</v>
      </c>
      <c r="K83" s="106" t="str">
        <f>IFERROR(__xludf.DUMMYFUNCTION("""COMPUTED_VALUE"""),"MAJ QOCBM MARCIO DA COSTA CAVACHINI, NF 2758512")</f>
        <v>MAJ QOCBM MARCIO DA COSTA CAVACHINI, NF 2758512</v>
      </c>
    </row>
    <row r="84" ht="43.5" customHeight="1">
      <c r="A84" s="109" t="str">
        <f>IFERROR(__xludf.DUMMYFUNCTION("""COMPUTED_VALUE"""),"FUNREBOM")</f>
        <v>FUNREBOM</v>
      </c>
      <c r="B84" s="109" t="str">
        <f>IFERROR(__xludf.DUMMYFUNCTION("""COMPUTED_VALUE"""),"Correios e correspondências")</f>
        <v>Correios e correspondências</v>
      </c>
      <c r="C84" s="109" t="str">
        <f>IFERROR(__xludf.DUMMYFUNCTION("""COMPUTED_VALUE"""),"3 - OUTRAS DESPESAS CORRENTES")</f>
        <v>3 - OUTRAS DESPESAS CORRENTES</v>
      </c>
      <c r="D84" s="110" t="str">
        <f>IFERROR(__xludf.DUMMYFUNCTION("""COMPUTED_VALUE"""),"AJUDÂNCIA")</f>
        <v>AJUDÂNCIA</v>
      </c>
      <c r="E84" s="109" t="str">
        <f>IFERROR(__xludf.DUMMYFUNCTION("""COMPUTED_VALUE"""),"RECURSOS VINCULADOS DO TESOURO")</f>
        <v>RECURSOS VINCULADOS DO TESOURO</v>
      </c>
      <c r="F84" s="109" t="str">
        <f>IFERROR(__xludf.DUMMYFUNCTION("""COMPUTED_VALUE"""),"EXISTENTE A SER RENOVADA")</f>
        <v>EXISTENTE A SER RENOVADA</v>
      </c>
      <c r="G84" s="111">
        <f>IFERROR(__xludf.DUMMYFUNCTION("""COMPUTED_VALUE"""),46204.0)</f>
        <v>46204</v>
      </c>
      <c r="H84" s="109" t="str">
        <f>IFERROR(__xludf.DUMMYFUNCTION("""COMPUTED_VALUE"""),"Cota")</f>
        <v>Cota</v>
      </c>
      <c r="I84" s="112">
        <f>IFERROR(__xludf.DUMMYFUNCTION("""COMPUTED_VALUE"""),1.0)</f>
        <v>1</v>
      </c>
      <c r="J84" s="110">
        <f>IFERROR(__xludf.DUMMYFUNCTION("""COMPUTED_VALUE"""),8500.0)</f>
        <v>8500</v>
      </c>
      <c r="K84" s="110" t="str">
        <f>IFERROR(__xludf.DUMMYFUNCTION("""COMPUTED_VALUE"""),"2º SGT  BM JUAN FUNDÃO ORÇAI DOS SANTOS, NF 2711966")</f>
        <v>2º SGT  BM JUAN FUNDÃO ORÇAI DOS SANTOS, NF 2711966</v>
      </c>
    </row>
    <row r="85" ht="43.5" customHeight="1">
      <c r="A85" s="105" t="str">
        <f>IFERROR(__xludf.DUMMYFUNCTION("""COMPUTED_VALUE"""),"FUNREBOM")</f>
        <v>FUNREBOM</v>
      </c>
      <c r="B85" s="105" t="str">
        <f>IFERROR(__xludf.DUMMYFUNCTION("""COMPUTED_VALUE"""),"Cursos e Diárias")</f>
        <v>Cursos e Diárias</v>
      </c>
      <c r="C85" s="105" t="str">
        <f>IFERROR(__xludf.DUMMYFUNCTION("""COMPUTED_VALUE"""),"3 - OUTRAS DESPESAS CORRENTES")</f>
        <v>3 - OUTRAS DESPESAS CORRENTES</v>
      </c>
      <c r="D85" s="106" t="str">
        <f>IFERROR(__xludf.DUMMYFUNCTION("""COMPUTED_VALUE"""),"CEIB")</f>
        <v>CEIB</v>
      </c>
      <c r="E85" s="105" t="str">
        <f>IFERROR(__xludf.DUMMYFUNCTION("""COMPUTED_VALUE"""),"RECURSOS DE CAIXA DO TESOURO")</f>
        <v>RECURSOS DE CAIXA DO TESOURO</v>
      </c>
      <c r="F85" s="105" t="str">
        <f>IFERROR(__xludf.DUMMYFUNCTION("""COMPUTED_VALUE"""),"NOVA")</f>
        <v>NOVA</v>
      </c>
      <c r="G85" s="107">
        <f>IFERROR(__xludf.DUMMYFUNCTION("""COMPUTED_VALUE"""),46266.0)</f>
        <v>46266</v>
      </c>
      <c r="H85" s="105" t="str">
        <f>IFERROR(__xludf.DUMMYFUNCTION("""COMPUTED_VALUE"""),"UN")</f>
        <v>UN</v>
      </c>
      <c r="I85" s="108">
        <f>IFERROR(__xludf.DUMMYFUNCTION("""COMPUTED_VALUE"""),5.0)</f>
        <v>5</v>
      </c>
      <c r="J85" s="106">
        <f>IFERROR(__xludf.DUMMYFUNCTION("""COMPUTED_VALUE"""),610000.0)</f>
        <v>610000</v>
      </c>
      <c r="K85" s="106" t="str">
        <f>IFERROR(__xludf.DUMMYFUNCTION("""COMPUTED_VALUE"""),"MAJ QOCBM DANIEL ALVES ZANDONADI, NF 904070")</f>
        <v>MAJ QOCBM DANIEL ALVES ZANDONADI, NF 904070</v>
      </c>
    </row>
    <row r="86" ht="43.5" customHeight="1">
      <c r="A86" s="109" t="str">
        <f>IFERROR(__xludf.DUMMYFUNCTION("""COMPUTED_VALUE"""),"FUNREBOM")</f>
        <v>FUNREBOM</v>
      </c>
      <c r="B86" s="109" t="str">
        <f>IFERROR(__xludf.DUMMYFUNCTION("""COMPUTED_VALUE"""),"Edificações")</f>
        <v>Edificações</v>
      </c>
      <c r="C86" s="109" t="str">
        <f>IFERROR(__xludf.DUMMYFUNCTION("""COMPUTED_VALUE"""),"4 - INVESTIMENTOS")</f>
        <v>4 - INVESTIMENTOS</v>
      </c>
      <c r="D86" s="110" t="str">
        <f>IFERROR(__xludf.DUMMYFUNCTION("""COMPUTED_VALUE"""),"GEA 2026")</f>
        <v>GEA 2026</v>
      </c>
      <c r="E86" s="109" t="str">
        <f>IFERROR(__xludf.DUMMYFUNCTION("""COMPUTED_VALUE"""),"RECURSOS VINCULADOS DO TESOURO")</f>
        <v>RECURSOS VINCULADOS DO TESOURO</v>
      </c>
      <c r="F86" s="109" t="str">
        <f>IFERROR(__xludf.DUMMYFUNCTION("""COMPUTED_VALUE"""),"NOVA")</f>
        <v>NOVA</v>
      </c>
      <c r="G86" s="111">
        <f>IFERROR(__xludf.DUMMYFUNCTION("""COMPUTED_VALUE"""),46266.0)</f>
        <v>46266</v>
      </c>
      <c r="H86" s="109" t="str">
        <f>IFERROR(__xludf.DUMMYFUNCTION("""COMPUTED_VALUE"""),"UN")</f>
        <v>UN</v>
      </c>
      <c r="I86" s="112">
        <f>IFERROR(__xludf.DUMMYFUNCTION("""COMPUTED_VALUE"""),5.0)</f>
        <v>5</v>
      </c>
      <c r="J86" s="110">
        <f>IFERROR(__xludf.DUMMYFUNCTION("""COMPUTED_VALUE"""),4202000.0)</f>
        <v>4202000</v>
      </c>
      <c r="K86" s="110" t="str">
        <f>IFERROR(__xludf.DUMMYFUNCTION("""COMPUTED_VALUE"""),"SERVIDORA CIVIL ALESSANDRA SANT´ANNA RUFINO, NF 2956667")</f>
        <v>SERVIDORA CIVIL ALESSANDRA SANT´ANNA RUFINO, NF 2956667</v>
      </c>
    </row>
    <row r="87" ht="43.5" customHeight="1">
      <c r="A87" s="105" t="str">
        <f>IFERROR(__xludf.DUMMYFUNCTION("""COMPUTED_VALUE"""),"FUNREBOM")</f>
        <v>FUNREBOM</v>
      </c>
      <c r="B87" s="105" t="str">
        <f>IFERROR(__xludf.DUMMYFUNCTION("""COMPUTED_VALUE"""),"Eletrodomésticos")</f>
        <v>Eletrodomésticos</v>
      </c>
      <c r="C87" s="105" t="str">
        <f>IFERROR(__xludf.DUMMYFUNCTION("""COMPUTED_VALUE"""),"3 - OUTRAS DESPESAS CORRENTES")</f>
        <v>3 - OUTRAS DESPESAS CORRENTES</v>
      </c>
      <c r="D87" s="106" t="str">
        <f>IFERROR(__xludf.DUMMYFUNCTION("""COMPUTED_VALUE"""),"CORREGEDORIA")</f>
        <v>CORREGEDORIA</v>
      </c>
      <c r="E87" s="105" t="str">
        <f>IFERROR(__xludf.DUMMYFUNCTION("""COMPUTED_VALUE"""),"RECURSOS VINCULADOS DO TESOURO")</f>
        <v>RECURSOS VINCULADOS DO TESOURO</v>
      </c>
      <c r="F87" s="105" t="str">
        <f>IFERROR(__xludf.DUMMYFUNCTION("""COMPUTED_VALUE"""),"NOVA")</f>
        <v>NOVA</v>
      </c>
      <c r="G87" s="107">
        <f>IFERROR(__xludf.DUMMYFUNCTION("""COMPUTED_VALUE"""),46174.0)</f>
        <v>46174</v>
      </c>
      <c r="H87" s="105" t="str">
        <f>IFERROR(__xludf.DUMMYFUNCTION("""COMPUTED_VALUE"""),"UN")</f>
        <v>UN</v>
      </c>
      <c r="I87" s="108">
        <f>IFERROR(__xludf.DUMMYFUNCTION("""COMPUTED_VALUE"""),8.0)</f>
        <v>8</v>
      </c>
      <c r="J87" s="106">
        <f>IFERROR(__xludf.DUMMYFUNCTION("""COMPUTED_VALUE"""),1700.0)</f>
        <v>1700</v>
      </c>
      <c r="K87" s="106" t="str">
        <f>IFERROR(__xludf.DUMMYFUNCTION("""COMPUTED_VALUE"""),"MAJ QOCBM MARCIO DA COSTA CAVACHINI, NF 2758512")</f>
        <v>MAJ QOCBM MARCIO DA COSTA CAVACHINI, NF 2758512</v>
      </c>
    </row>
    <row r="88" ht="43.5" customHeight="1">
      <c r="A88" s="109" t="str">
        <f>IFERROR(__xludf.DUMMYFUNCTION("""COMPUTED_VALUE"""),"FUNREBOM")</f>
        <v>FUNREBOM</v>
      </c>
      <c r="B88" s="109" t="str">
        <f>IFERROR(__xludf.DUMMYFUNCTION("""COMPUTED_VALUE"""),"Eletrodomésticos")</f>
        <v>Eletrodomésticos</v>
      </c>
      <c r="C88" s="109" t="str">
        <f>IFERROR(__xludf.DUMMYFUNCTION("""COMPUTED_VALUE"""),"4 - INVESTIMENTOS")</f>
        <v>4 - INVESTIMENTOS</v>
      </c>
      <c r="D88" s="110" t="str">
        <f>IFERROR(__xludf.DUMMYFUNCTION("""COMPUTED_VALUE"""),"PREFEITURA DEPMAT")</f>
        <v>PREFEITURA DEPMAT</v>
      </c>
      <c r="E88" s="109" t="str">
        <f>IFERROR(__xludf.DUMMYFUNCTION("""COMPUTED_VALUE"""),"RECURSOS VINCULADOS DO TESOURO")</f>
        <v>RECURSOS VINCULADOS DO TESOURO</v>
      </c>
      <c r="F88" s="109" t="str">
        <f>IFERROR(__xludf.DUMMYFUNCTION("""COMPUTED_VALUE"""),"NOVA")</f>
        <v>NOVA</v>
      </c>
      <c r="G88" s="111">
        <f>IFERROR(__xludf.DUMMYFUNCTION("""COMPUTED_VALUE"""),46235.0)</f>
        <v>46235</v>
      </c>
      <c r="H88" s="109" t="str">
        <f>IFERROR(__xludf.DUMMYFUNCTION("""COMPUTED_VALUE"""),"UN")</f>
        <v>UN</v>
      </c>
      <c r="I88" s="112">
        <f>IFERROR(__xludf.DUMMYFUNCTION("""COMPUTED_VALUE"""),33.0)</f>
        <v>33</v>
      </c>
      <c r="J88" s="110">
        <f>IFERROR(__xludf.DUMMYFUNCTION("""COMPUTED_VALUE"""),138300.0)</f>
        <v>138300</v>
      </c>
      <c r="K88" s="110" t="str">
        <f>IFERROR(__xludf.DUMMYFUNCTION("""COMPUTED_VALUE"""),"SERVIDORA CIVIL GIULIANE MOREIRA, NF 3031942")</f>
        <v>SERVIDORA CIVIL GIULIANE MOREIRA, NF 3031942</v>
      </c>
    </row>
    <row r="89" ht="43.5" customHeight="1">
      <c r="A89" s="105" t="str">
        <f>IFERROR(__xludf.DUMMYFUNCTION("""COMPUTED_VALUE"""),"FUNREBOM")</f>
        <v>FUNREBOM</v>
      </c>
      <c r="B89" s="105" t="str">
        <f>IFERROR(__xludf.DUMMYFUNCTION("""COMPUTED_VALUE"""),"Equipamento de Proteção, Segurança e Socorro")</f>
        <v>Equipamento de Proteção, Segurança e Socorro</v>
      </c>
      <c r="C89" s="105" t="str">
        <f>IFERROR(__xludf.DUMMYFUNCTION("""COMPUTED_VALUE"""),"4 - INVESTIMENTOS")</f>
        <v>4 - INVESTIMENTOS</v>
      </c>
      <c r="D89" s="106" t="str">
        <f>IFERROR(__xludf.DUMMYFUNCTION("""COMPUTED_VALUE"""),"CEIB")</f>
        <v>CEIB</v>
      </c>
      <c r="E89" s="105" t="str">
        <f>IFERROR(__xludf.DUMMYFUNCTION("""COMPUTED_VALUE"""),"RECURSOS DE CAIXA DO TESOURO")</f>
        <v>RECURSOS DE CAIXA DO TESOURO</v>
      </c>
      <c r="F89" s="105" t="str">
        <f>IFERROR(__xludf.DUMMYFUNCTION("""COMPUTED_VALUE"""),"NOVA")</f>
        <v>NOVA</v>
      </c>
      <c r="G89" s="107">
        <f>IFERROR(__xludf.DUMMYFUNCTION("""COMPUTED_VALUE"""),46266.0)</f>
        <v>46266</v>
      </c>
      <c r="H89" s="105" t="str">
        <f>IFERROR(__xludf.DUMMYFUNCTION("""COMPUTED_VALUE"""),"UN")</f>
        <v>UN</v>
      </c>
      <c r="I89" s="108">
        <f>IFERROR(__xludf.DUMMYFUNCTION("""COMPUTED_VALUE"""),8.0)</f>
        <v>8</v>
      </c>
      <c r="J89" s="106">
        <f>IFERROR(__xludf.DUMMYFUNCTION("""COMPUTED_VALUE"""),88000.0)</f>
        <v>88000</v>
      </c>
      <c r="K89" s="106" t="str">
        <f>IFERROR(__xludf.DUMMYFUNCTION("""COMPUTED_VALUE"""),"SERVIDORA CIVIL ALESSANDRA SANT´ANNA RUFINO, NF 2956667")</f>
        <v>SERVIDORA CIVIL ALESSANDRA SANT´ANNA RUFINO, NF 2956667</v>
      </c>
    </row>
    <row r="90" ht="43.5" customHeight="1">
      <c r="A90" s="109" t="str">
        <f>IFERROR(__xludf.DUMMYFUNCTION("""COMPUTED_VALUE"""),"FUNREBOM")</f>
        <v>FUNREBOM</v>
      </c>
      <c r="B90" s="109" t="str">
        <f>IFERROR(__xludf.DUMMYFUNCTION("""COMPUTED_VALUE"""),"Equipamentos Para Áudio, Vídeo e Foto")</f>
        <v>Equipamentos Para Áudio, Vídeo e Foto</v>
      </c>
      <c r="C90" s="109" t="str">
        <f>IFERROR(__xludf.DUMMYFUNCTION("""COMPUTED_VALUE"""),"3 - OUTRAS DESPESAS CORRENTES")</f>
        <v>3 - OUTRAS DESPESAS CORRENTES</v>
      </c>
      <c r="D90" s="110" t="str">
        <f>IFERROR(__xludf.DUMMYFUNCTION("""COMPUTED_VALUE"""),"CAT")</f>
        <v>CAT</v>
      </c>
      <c r="E90" s="109" t="str">
        <f>IFERROR(__xludf.DUMMYFUNCTION("""COMPUTED_VALUE"""),"RECURSOS VINCULADOS DO TESOURO")</f>
        <v>RECURSOS VINCULADOS DO TESOURO</v>
      </c>
      <c r="F90" s="109" t="str">
        <f>IFERROR(__xludf.DUMMYFUNCTION("""COMPUTED_VALUE"""),"NOVA")</f>
        <v>NOVA</v>
      </c>
      <c r="G90" s="111">
        <f>IFERROR(__xludf.DUMMYFUNCTION("""COMPUTED_VALUE"""),46174.0)</f>
        <v>46174</v>
      </c>
      <c r="H90" s="109" t="str">
        <f>IFERROR(__xludf.DUMMYFUNCTION("""COMPUTED_VALUE"""),"UN")</f>
        <v>UN</v>
      </c>
      <c r="I90" s="112">
        <f>IFERROR(__xludf.DUMMYFUNCTION("""COMPUTED_VALUE"""),26.0)</f>
        <v>26</v>
      </c>
      <c r="J90" s="110">
        <f>IFERROR(__xludf.DUMMYFUNCTION("""COMPUTED_VALUE"""),4400.0)</f>
        <v>4400</v>
      </c>
      <c r="K90" s="110" t="str">
        <f>IFERROR(__xludf.DUMMYFUNCTION("""COMPUTED_VALUE"""),"SERVIDORA CIVIL ALESSANDRA SANT´ANNA RUFINO, NF 2956667")</f>
        <v>SERVIDORA CIVIL ALESSANDRA SANT´ANNA RUFINO, NF 2956667</v>
      </c>
    </row>
    <row r="91" ht="43.5" customHeight="1">
      <c r="A91" s="105" t="str">
        <f>IFERROR(__xludf.DUMMYFUNCTION("""COMPUTED_VALUE"""),"FUNREBOM")</f>
        <v>FUNREBOM</v>
      </c>
      <c r="B91" s="105" t="str">
        <f>IFERROR(__xludf.DUMMYFUNCTION("""COMPUTED_VALUE"""),"Equipamentos Para Áudio, Vídeo e Foto")</f>
        <v>Equipamentos Para Áudio, Vídeo e Foto</v>
      </c>
      <c r="C91" s="105" t="str">
        <f>IFERROR(__xludf.DUMMYFUNCTION("""COMPUTED_VALUE"""),"4 - INVESTIMENTOS")</f>
        <v>4 - INVESTIMENTOS</v>
      </c>
      <c r="D91" s="106" t="str">
        <f>IFERROR(__xludf.DUMMYFUNCTION("""COMPUTED_VALUE"""),"2° BBM")</f>
        <v>2° BBM</v>
      </c>
      <c r="E91" s="105" t="str">
        <f>IFERROR(__xludf.DUMMYFUNCTION("""COMPUTED_VALUE"""),"RECURSOS DE CAIXA DO TESOURO")</f>
        <v>RECURSOS DE CAIXA DO TESOURO</v>
      </c>
      <c r="F91" s="105" t="str">
        <f>IFERROR(__xludf.DUMMYFUNCTION("""COMPUTED_VALUE"""),"NOVA")</f>
        <v>NOVA</v>
      </c>
      <c r="G91" s="107">
        <f>IFERROR(__xludf.DUMMYFUNCTION("""COMPUTED_VALUE"""),46174.0)</f>
        <v>46174</v>
      </c>
      <c r="H91" s="105" t="str">
        <f>IFERROR(__xludf.DUMMYFUNCTION("""COMPUTED_VALUE"""),"UN")</f>
        <v>UN</v>
      </c>
      <c r="I91" s="108">
        <f>IFERROR(__xludf.DUMMYFUNCTION("""COMPUTED_VALUE"""),1.0)</f>
        <v>1</v>
      </c>
      <c r="J91" s="106">
        <f>IFERROR(__xludf.DUMMYFUNCTION("""COMPUTED_VALUE"""),2800.0)</f>
        <v>2800</v>
      </c>
      <c r="K91" s="106" t="str">
        <f>IFERROR(__xludf.DUMMYFUNCTION("""COMPUTED_VALUE"""),"CAP QOCBM GUILHERME MARTINELLI SCHULZ, NF 3693864;")</f>
        <v>CAP QOCBM GUILHERME MARTINELLI SCHULZ, NF 3693864;</v>
      </c>
    </row>
    <row r="92" ht="43.5" customHeight="1">
      <c r="A92" s="109" t="str">
        <f>IFERROR(__xludf.DUMMYFUNCTION("""COMPUTED_VALUE"""),"FUNREBOM")</f>
        <v>FUNREBOM</v>
      </c>
      <c r="B92" s="109" t="str">
        <f>IFERROR(__xludf.DUMMYFUNCTION("""COMPUTED_VALUE"""),"Equipamentos de Radiocomunicação")</f>
        <v>Equipamentos de Radiocomunicação</v>
      </c>
      <c r="C92" s="109" t="str">
        <f>IFERROR(__xludf.DUMMYFUNCTION("""COMPUTED_VALUE"""),"4 - INVESTIMENTOS")</f>
        <v>4 - INVESTIMENTOS</v>
      </c>
      <c r="D92" s="110" t="str">
        <f>IFERROR(__xludf.DUMMYFUNCTION("""COMPUTED_VALUE"""),"DEPMAT 2026")</f>
        <v>DEPMAT 2026</v>
      </c>
      <c r="E92" s="109" t="str">
        <f>IFERROR(__xludf.DUMMYFUNCTION("""COMPUTED_VALUE"""),"RECURSOS VINCULADOS DO TESOURO")</f>
        <v>RECURSOS VINCULADOS DO TESOURO</v>
      </c>
      <c r="F92" s="109" t="str">
        <f>IFERROR(__xludf.DUMMYFUNCTION("""COMPUTED_VALUE"""),"NOVA")</f>
        <v>NOVA</v>
      </c>
      <c r="G92" s="111">
        <f>IFERROR(__xludf.DUMMYFUNCTION("""COMPUTED_VALUE"""),46266.0)</f>
        <v>46266</v>
      </c>
      <c r="H92" s="109" t="str">
        <f>IFERROR(__xludf.DUMMYFUNCTION("""COMPUTED_VALUE"""),"UN")</f>
        <v>UN</v>
      </c>
      <c r="I92" s="112">
        <f>IFERROR(__xludf.DUMMYFUNCTION("""COMPUTED_VALUE"""),159.0)</f>
        <v>159</v>
      </c>
      <c r="J92" s="110">
        <f>IFERROR(__xludf.DUMMYFUNCTION("""COMPUTED_VALUE"""),481792.0)</f>
        <v>481792</v>
      </c>
      <c r="K92" s="110" t="str">
        <f>IFERROR(__xludf.DUMMYFUNCTION("""COMPUTED_VALUE"""),"MAJ QOCBM MARCIO DA COSTA CAVACHINI, NF 2758512")</f>
        <v>MAJ QOCBM MARCIO DA COSTA CAVACHINI, NF 2758512</v>
      </c>
    </row>
    <row r="93" ht="43.5" customHeight="1">
      <c r="A93" s="105" t="str">
        <f>IFERROR(__xludf.DUMMYFUNCTION("""COMPUTED_VALUE"""),"FUNREBOM")</f>
        <v>FUNREBOM</v>
      </c>
      <c r="B93" s="105" t="str">
        <f>IFERROR(__xludf.DUMMYFUNCTION("""COMPUTED_VALUE"""),"Equipamentos e Material Permanente")</f>
        <v>Equipamentos e Material Permanente</v>
      </c>
      <c r="C93" s="105" t="str">
        <f>IFERROR(__xludf.DUMMYFUNCTION("""COMPUTED_VALUE"""),"4 - INVESTIMENTOS")</f>
        <v>4 - INVESTIMENTOS</v>
      </c>
      <c r="D93" s="106" t="str">
        <f>IFERROR(__xludf.DUMMYFUNCTION("""COMPUTED_VALUE"""),"DEPMAT 2026")</f>
        <v>DEPMAT 2026</v>
      </c>
      <c r="E93" s="105" t="str">
        <f>IFERROR(__xludf.DUMMYFUNCTION("""COMPUTED_VALUE"""),"RECURSOS DE CAIXA DO TESOURO")</f>
        <v>RECURSOS DE CAIXA DO TESOURO</v>
      </c>
      <c r="F93" s="105" t="str">
        <f>IFERROR(__xludf.DUMMYFUNCTION("""COMPUTED_VALUE"""),"NOVA")</f>
        <v>NOVA</v>
      </c>
      <c r="G93" s="107">
        <f>IFERROR(__xludf.DUMMYFUNCTION("""COMPUTED_VALUE"""),46031.0)</f>
        <v>46031</v>
      </c>
      <c r="H93" s="105" t="str">
        <f>IFERROR(__xludf.DUMMYFUNCTION("""COMPUTED_VALUE"""),"UN")</f>
        <v>UN</v>
      </c>
      <c r="I93" s="108">
        <f>IFERROR(__xludf.DUMMYFUNCTION("""COMPUTED_VALUE"""),1.0)</f>
        <v>1</v>
      </c>
      <c r="J93" s="106">
        <f>IFERROR(__xludf.DUMMYFUNCTION("""COMPUTED_VALUE"""),15000.0)</f>
        <v>15000</v>
      </c>
      <c r="K93" s="106" t="str">
        <f>IFERROR(__xludf.DUMMYFUNCTION("""COMPUTED_VALUE"""),"CAP QOCBM GUILHERME MARTINELLI SCHULZ, NF 3693864")</f>
        <v>CAP QOCBM GUILHERME MARTINELLI SCHULZ, NF 3693864</v>
      </c>
    </row>
    <row r="94" ht="43.5" customHeight="1">
      <c r="A94" s="109" t="str">
        <f>IFERROR(__xludf.DUMMYFUNCTION("""COMPUTED_VALUE"""),"FUNREBOM")</f>
        <v>FUNREBOM</v>
      </c>
      <c r="B94" s="109" t="str">
        <f>IFERROR(__xludf.DUMMYFUNCTION("""COMPUTED_VALUE"""),"Estudos e Projetos")</f>
        <v>Estudos e Projetos</v>
      </c>
      <c r="C94" s="109" t="str">
        <f>IFERROR(__xludf.DUMMYFUNCTION("""COMPUTED_VALUE"""),"4 - INVESTIMENTOS")</f>
        <v>4 - INVESTIMENTOS</v>
      </c>
      <c r="D94" s="110" t="str">
        <f>IFERROR(__xludf.DUMMYFUNCTION("""COMPUTED_VALUE"""),"GEA 2026")</f>
        <v>GEA 2026</v>
      </c>
      <c r="E94" s="109" t="str">
        <f>IFERROR(__xludf.DUMMYFUNCTION("""COMPUTED_VALUE"""),"RECURSOS DE CAIXA DO TESOURO")</f>
        <v>RECURSOS DE CAIXA DO TESOURO</v>
      </c>
      <c r="F94" s="109" t="str">
        <f>IFERROR(__xludf.DUMMYFUNCTION("""COMPUTED_VALUE"""),"NOVA")</f>
        <v>NOVA</v>
      </c>
      <c r="G94" s="111">
        <f>IFERROR(__xludf.DUMMYFUNCTION("""COMPUTED_VALUE"""),46204.0)</f>
        <v>46204</v>
      </c>
      <c r="H94" s="109" t="str">
        <f>IFERROR(__xludf.DUMMYFUNCTION("""COMPUTED_VALUE"""),"UN")</f>
        <v>UN</v>
      </c>
      <c r="I94" s="112">
        <f>IFERROR(__xludf.DUMMYFUNCTION("""COMPUTED_VALUE"""),1.0)</f>
        <v>1</v>
      </c>
      <c r="J94" s="110">
        <f>IFERROR(__xludf.DUMMYFUNCTION("""COMPUTED_VALUE"""),65000.0)</f>
        <v>65000</v>
      </c>
      <c r="K94" s="110" t="str">
        <f>IFERROR(__xludf.DUMMYFUNCTION("""COMPUTED_VALUE"""),"MAJ QOCBM MARCIO DA COSTA CAVACHINI, NF 2758512")</f>
        <v>MAJ QOCBM MARCIO DA COSTA CAVACHINI, NF 2758512</v>
      </c>
    </row>
    <row r="95" ht="43.5" customHeight="1">
      <c r="A95" s="105" t="str">
        <f>IFERROR(__xludf.DUMMYFUNCTION("""COMPUTED_VALUE"""),"FUNREBOM")</f>
        <v>FUNREBOM</v>
      </c>
      <c r="B95" s="105" t="str">
        <f>IFERROR(__xludf.DUMMYFUNCTION("""COMPUTED_VALUE"""),"Ferramentas")</f>
        <v>Ferramentas</v>
      </c>
      <c r="C95" s="105" t="str">
        <f>IFERROR(__xludf.DUMMYFUNCTION("""COMPUTED_VALUE"""),"3 - OUTRAS DESPESAS CORRENTES")</f>
        <v>3 - OUTRAS DESPESAS CORRENTES</v>
      </c>
      <c r="D95" s="106" t="str">
        <f>IFERROR(__xludf.DUMMYFUNCTION("""COMPUTED_VALUE"""),"PREFEITURA DAL")</f>
        <v>PREFEITURA DAL</v>
      </c>
      <c r="E95" s="105" t="str">
        <f>IFERROR(__xludf.DUMMYFUNCTION("""COMPUTED_VALUE"""),"RECURSOS VINCULADOS DO TESOURO")</f>
        <v>RECURSOS VINCULADOS DO TESOURO</v>
      </c>
      <c r="F95" s="105" t="str">
        <f>IFERROR(__xludf.DUMMYFUNCTION("""COMPUTED_VALUE"""),"NOVA")</f>
        <v>NOVA</v>
      </c>
      <c r="G95" s="107">
        <f>IFERROR(__xludf.DUMMYFUNCTION("""COMPUTED_VALUE"""),46204.0)</f>
        <v>46204</v>
      </c>
      <c r="H95" s="105" t="str">
        <f>IFERROR(__xludf.DUMMYFUNCTION("""COMPUTED_VALUE"""),"UN")</f>
        <v>UN</v>
      </c>
      <c r="I95" s="108">
        <f>IFERROR(__xludf.DUMMYFUNCTION("""COMPUTED_VALUE"""),12.0)</f>
        <v>12</v>
      </c>
      <c r="J95" s="106">
        <f>IFERROR(__xludf.DUMMYFUNCTION("""COMPUTED_VALUE"""),11650.0)</f>
        <v>11650</v>
      </c>
      <c r="K95" s="106" t="str">
        <f>IFERROR(__xludf.DUMMYFUNCTION("""COMPUTED_VALUE"""),"SERVIDORA CIVIL GIULIANE MOREIRA, NF 3031942")</f>
        <v>SERVIDORA CIVIL GIULIANE MOREIRA, NF 3031942</v>
      </c>
    </row>
    <row r="96" ht="43.5" customHeight="1">
      <c r="A96" s="109" t="str">
        <f>IFERROR(__xludf.DUMMYFUNCTION("""COMPUTED_VALUE"""),"FUNREBOM")</f>
        <v>FUNREBOM</v>
      </c>
      <c r="B96" s="109" t="str">
        <f>IFERROR(__xludf.DUMMYFUNCTION("""COMPUTED_VALUE"""),"Ferramentas")</f>
        <v>Ferramentas</v>
      </c>
      <c r="C96" s="109" t="str">
        <f>IFERROR(__xludf.DUMMYFUNCTION("""COMPUTED_VALUE"""),"4 - INVESTIMENTOS")</f>
        <v>4 - INVESTIMENTOS</v>
      </c>
      <c r="D96" s="110" t="str">
        <f>IFERROR(__xludf.DUMMYFUNCTION("""COMPUTED_VALUE"""),"6°BBM")</f>
        <v>6°BBM</v>
      </c>
      <c r="E96" s="109" t="str">
        <f>IFERROR(__xludf.DUMMYFUNCTION("""COMPUTED_VALUE"""),"RECURSOS DE CAIXA DO TESOURO")</f>
        <v>RECURSOS DE CAIXA DO TESOURO</v>
      </c>
      <c r="F96" s="109" t="str">
        <f>IFERROR(__xludf.DUMMYFUNCTION("""COMPUTED_VALUE"""),"NOVA")</f>
        <v>NOVA</v>
      </c>
      <c r="G96" s="111">
        <f>IFERROR(__xludf.DUMMYFUNCTION("""COMPUTED_VALUE"""),46174.0)</f>
        <v>46174</v>
      </c>
      <c r="H96" s="109" t="str">
        <f>IFERROR(__xludf.DUMMYFUNCTION("""COMPUTED_VALUE"""),"UN")</f>
        <v>UN</v>
      </c>
      <c r="I96" s="112">
        <f>IFERROR(__xludf.DUMMYFUNCTION("""COMPUTED_VALUE"""),3.0)</f>
        <v>3</v>
      </c>
      <c r="J96" s="110">
        <f>IFERROR(__xludf.DUMMYFUNCTION("""COMPUTED_VALUE"""),5400.0)</f>
        <v>5400</v>
      </c>
      <c r="K96" s="110" t="str">
        <f>IFERROR(__xludf.DUMMYFUNCTION("""COMPUTED_VALUE"""),"MAJ QOCBM MARCIO DA COSTA CAVACHINI, NF 2758512")</f>
        <v>MAJ QOCBM MARCIO DA COSTA CAVACHINI, NF 2758512</v>
      </c>
    </row>
    <row r="97" ht="43.5" customHeight="1">
      <c r="A97" s="105" t="str">
        <f>IFERROR(__xludf.DUMMYFUNCTION("""COMPUTED_VALUE"""),"FUNREBOM")</f>
        <v>FUNREBOM</v>
      </c>
      <c r="B97" s="105" t="str">
        <f>IFERROR(__xludf.DUMMYFUNCTION("""COMPUTED_VALUE"""),"Festividades e Homenagens ")</f>
        <v>Festividades e Homenagens </v>
      </c>
      <c r="C97" s="105" t="str">
        <f>IFERROR(__xludf.DUMMYFUNCTION("""COMPUTED_VALUE"""),"3 - OUTRAS DESPESAS CORRENTES")</f>
        <v>3 - OUTRAS DESPESAS CORRENTES</v>
      </c>
      <c r="D97" s="106" t="str">
        <f>IFERROR(__xludf.DUMMYFUNCTION("""COMPUTED_VALUE"""),"ASCOM")</f>
        <v>ASCOM</v>
      </c>
      <c r="E97" s="105" t="str">
        <f>IFERROR(__xludf.DUMMYFUNCTION("""COMPUTED_VALUE"""),"RECURSOS DE CAIXA DO TESOURO")</f>
        <v>RECURSOS DE CAIXA DO TESOURO</v>
      </c>
      <c r="F97" s="105" t="str">
        <f>IFERROR(__xludf.DUMMYFUNCTION("""COMPUTED_VALUE"""),"NOVA")</f>
        <v>NOVA</v>
      </c>
      <c r="G97" s="107">
        <f>IFERROR(__xludf.DUMMYFUNCTION("""COMPUTED_VALUE"""),46031.0)</f>
        <v>46031</v>
      </c>
      <c r="H97" s="105" t="str">
        <f>IFERROR(__xludf.DUMMYFUNCTION("""COMPUTED_VALUE"""),"UN")</f>
        <v>UN</v>
      </c>
      <c r="I97" s="108">
        <f>IFERROR(__xludf.DUMMYFUNCTION("""COMPUTED_VALUE"""),3.0)</f>
        <v>3</v>
      </c>
      <c r="J97" s="106">
        <f>IFERROR(__xludf.DUMMYFUNCTION("""COMPUTED_VALUE"""),54000.0)</f>
        <v>54000</v>
      </c>
      <c r="K97" s="106" t="str">
        <f>IFERROR(__xludf.DUMMYFUNCTION("""COMPUTED_VALUE"""),"MAJ QOCBM MARCIO DA COSTA CAVACHINI, NF 2758512")</f>
        <v>MAJ QOCBM MARCIO DA COSTA CAVACHINI, NF 2758512</v>
      </c>
    </row>
    <row r="98" ht="43.5" customHeight="1">
      <c r="A98" s="109" t="str">
        <f>IFERROR(__xludf.DUMMYFUNCTION("""COMPUTED_VALUE"""),"FUNREBOM")</f>
        <v>FUNREBOM</v>
      </c>
      <c r="B98" s="109" t="str">
        <f>IFERROR(__xludf.DUMMYFUNCTION("""COMPUTED_VALUE"""),"LOCAÇÃO DE IMÓVEL PARA 3° CIA IND")</f>
        <v>LOCAÇÃO DE IMÓVEL PARA 3° CIA IND</v>
      </c>
      <c r="C98" s="109" t="str">
        <f>IFERROR(__xludf.DUMMYFUNCTION("""COMPUTED_VALUE"""),"3 - OUTRAS DESPESAS CORRENTES")</f>
        <v>3 - OUTRAS DESPESAS CORRENTES</v>
      </c>
      <c r="D98" s="110" t="str">
        <f>IFERROR(__xludf.DUMMYFUNCTION("""COMPUTED_VALUE"""),"3° CIA IND")</f>
        <v>3° CIA IND</v>
      </c>
      <c r="E98" s="109" t="str">
        <f>IFERROR(__xludf.DUMMYFUNCTION("""COMPUTED_VALUE"""),"RECURSOS DE CAIXA DO TESOURO")</f>
        <v>RECURSOS DE CAIXA DO TESOURO</v>
      </c>
      <c r="F98" s="109" t="str">
        <f>IFERROR(__xludf.DUMMYFUNCTION("""COMPUTED_VALUE"""),"NOVA")</f>
        <v>NOVA</v>
      </c>
      <c r="G98" s="111">
        <f>IFERROR(__xludf.DUMMYFUNCTION("""COMPUTED_VALUE"""),46204.0)</f>
        <v>46204</v>
      </c>
      <c r="H98" s="109" t="str">
        <f>IFERROR(__xludf.DUMMYFUNCTION("""COMPUTED_VALUE"""),"UN")</f>
        <v>UN</v>
      </c>
      <c r="I98" s="112">
        <f>IFERROR(__xludf.DUMMYFUNCTION("""COMPUTED_VALUE"""),1.0)</f>
        <v>1</v>
      </c>
      <c r="J98" s="110">
        <f>IFERROR(__xludf.DUMMYFUNCTION("""COMPUTED_VALUE"""),250000.0)</f>
        <v>250000</v>
      </c>
      <c r="K98" s="110" t="str">
        <f>IFERROR(__xludf.DUMMYFUNCTION("""COMPUTED_VALUE"""),"1º TEN QOABM BRUNO DA SILVA BOREL, NF 903246")</f>
        <v>1º TEN QOABM BRUNO DA SILVA BOREL, NF 903246</v>
      </c>
    </row>
    <row r="99" ht="43.5" customHeight="1">
      <c r="A99" s="105" t="str">
        <f>IFERROR(__xludf.DUMMYFUNCTION("""COMPUTED_VALUE"""),"FUNREBOM")</f>
        <v>FUNREBOM</v>
      </c>
      <c r="B99" s="105" t="str">
        <f>IFERROR(__xludf.DUMMYFUNCTION("""COMPUTED_VALUE"""),"Locação de espaço para instruções")</f>
        <v>Locação de espaço para instruções</v>
      </c>
      <c r="C99" s="105" t="str">
        <f>IFERROR(__xludf.DUMMYFUNCTION("""COMPUTED_VALUE"""),"3 - OUTRAS DESPESAS CORRENTES")</f>
        <v>3 - OUTRAS DESPESAS CORRENTES</v>
      </c>
      <c r="D99" s="106" t="str">
        <f>IFERROR(__xludf.DUMMYFUNCTION("""COMPUTED_VALUE"""),"MATERIAL BÉLICO")</f>
        <v>MATERIAL BÉLICO</v>
      </c>
      <c r="E99" s="105" t="str">
        <f>IFERROR(__xludf.DUMMYFUNCTION("""COMPUTED_VALUE"""),"RECURSOS DE CAIXA DO TESOURO")</f>
        <v>RECURSOS DE CAIXA DO TESOURO</v>
      </c>
      <c r="F99" s="105" t="str">
        <f>IFERROR(__xludf.DUMMYFUNCTION("""COMPUTED_VALUE"""),"NOVA")</f>
        <v>NOVA</v>
      </c>
      <c r="G99" s="107">
        <f>IFERROR(__xludf.DUMMYFUNCTION("""COMPUTED_VALUE"""),46031.0)</f>
        <v>46031</v>
      </c>
      <c r="H99" s="105" t="str">
        <f>IFERROR(__xludf.DUMMYFUNCTION("""COMPUTED_VALUE"""),"UN")</f>
        <v>UN</v>
      </c>
      <c r="I99" s="108">
        <f>IFERROR(__xludf.DUMMYFUNCTION("""COMPUTED_VALUE"""),1.0)</f>
        <v>1</v>
      </c>
      <c r="J99" s="106">
        <f>IFERROR(__xludf.DUMMYFUNCTION("""COMPUTED_VALUE"""),65000.0)</f>
        <v>65000</v>
      </c>
      <c r="K99" s="106" t="str">
        <f>IFERROR(__xludf.DUMMYFUNCTION("""COMPUTED_VALUE"""),"MAJ QOCBM MARCIO DA COSTA CAVACHINI, NF 2758512")</f>
        <v>MAJ QOCBM MARCIO DA COSTA CAVACHINI, NF 2758512</v>
      </c>
    </row>
    <row r="100" ht="43.5" customHeight="1">
      <c r="A100" s="109" t="str">
        <f>IFERROR(__xludf.DUMMYFUNCTION("""COMPUTED_VALUE"""),"FUNREBOM")</f>
        <v>FUNREBOM</v>
      </c>
      <c r="B100" s="109" t="str">
        <f>IFERROR(__xludf.DUMMYFUNCTION("""COMPUTED_VALUE"""),"Manutenção e Conservação de Bens Imóveis")</f>
        <v>Manutenção e Conservação de Bens Imóveis</v>
      </c>
      <c r="C100" s="109" t="str">
        <f>IFERROR(__xludf.DUMMYFUNCTION("""COMPUTED_VALUE"""),"3 - OUTRAS DESPESAS CORRENTES")</f>
        <v>3 - OUTRAS DESPESAS CORRENTES</v>
      </c>
      <c r="D100" s="110" t="str">
        <f>IFERROR(__xludf.DUMMYFUNCTION("""COMPUTED_VALUE"""),"ALMOXARIFADO")</f>
        <v>ALMOXARIFADO</v>
      </c>
      <c r="E100" s="109" t="str">
        <f>IFERROR(__xludf.DUMMYFUNCTION("""COMPUTED_VALUE"""),"RECURSOS VINCULADOS DO TESOURO")</f>
        <v>RECURSOS VINCULADOS DO TESOURO</v>
      </c>
      <c r="F100" s="109" t="str">
        <f>IFERROR(__xludf.DUMMYFUNCTION("""COMPUTED_VALUE"""),"NOVA")</f>
        <v>NOVA</v>
      </c>
      <c r="G100" s="111">
        <f>IFERROR(__xludf.DUMMYFUNCTION("""COMPUTED_VALUE"""),46174.0)</f>
        <v>46174</v>
      </c>
      <c r="H100" s="109" t="str">
        <f>IFERROR(__xludf.DUMMYFUNCTION("""COMPUTED_VALUE"""),"UN")</f>
        <v>UN</v>
      </c>
      <c r="I100" s="112">
        <f>IFERROR(__xludf.DUMMYFUNCTION("""COMPUTED_VALUE"""),73.0)</f>
        <v>73</v>
      </c>
      <c r="J100" s="110">
        <f>IFERROR(__xludf.DUMMYFUNCTION("""COMPUTED_VALUE"""),4940.0)</f>
        <v>4940</v>
      </c>
      <c r="K100" s="110" t="str">
        <f>IFERROR(__xludf.DUMMYFUNCTION("""COMPUTED_VALUE"""),"SERVIDORA CIVIL GIULIANE MOREIRA, NF 3031942")</f>
        <v>SERVIDORA CIVIL GIULIANE MOREIRA, NF 3031942</v>
      </c>
    </row>
    <row r="101" ht="43.5" customHeight="1">
      <c r="A101" s="105" t="str">
        <f>IFERROR(__xludf.DUMMYFUNCTION("""COMPUTED_VALUE"""),"FUNREBOM")</f>
        <v>FUNREBOM</v>
      </c>
      <c r="B101" s="105" t="str">
        <f>IFERROR(__xludf.DUMMYFUNCTION("""COMPUTED_VALUE"""),"Material Elétrico / Energia")</f>
        <v>Material Elétrico / Energia</v>
      </c>
      <c r="C101" s="105" t="str">
        <f>IFERROR(__xludf.DUMMYFUNCTION("""COMPUTED_VALUE"""),"3 - OUTRAS DESPESAS CORRENTES")</f>
        <v>3 - OUTRAS DESPESAS CORRENTES</v>
      </c>
      <c r="D101" s="106" t="str">
        <f>IFERROR(__xludf.DUMMYFUNCTION("""COMPUTED_VALUE"""),"ALMOXARIFADO")</f>
        <v>ALMOXARIFADO</v>
      </c>
      <c r="E101" s="105" t="str">
        <f>IFERROR(__xludf.DUMMYFUNCTION("""COMPUTED_VALUE"""),"RECURSOS DE CAIXA DO TESOURO")</f>
        <v>RECURSOS DE CAIXA DO TESOURO</v>
      </c>
      <c r="F101" s="105" t="str">
        <f>IFERROR(__xludf.DUMMYFUNCTION("""COMPUTED_VALUE"""),"NOVA")</f>
        <v>NOVA</v>
      </c>
      <c r="G101" s="107">
        <f>IFERROR(__xludf.DUMMYFUNCTION("""COMPUTED_VALUE"""),46266.0)</f>
        <v>46266</v>
      </c>
      <c r="H101" s="105" t="str">
        <f>IFERROR(__xludf.DUMMYFUNCTION("""COMPUTED_VALUE"""),"UN")</f>
        <v>UN</v>
      </c>
      <c r="I101" s="108">
        <f>IFERROR(__xludf.DUMMYFUNCTION("""COMPUTED_VALUE"""),1333.0)</f>
        <v>1333</v>
      </c>
      <c r="J101" s="106">
        <f>IFERROR(__xludf.DUMMYFUNCTION("""COMPUTED_VALUE"""),7190.0)</f>
        <v>7190</v>
      </c>
      <c r="K101" s="106" t="str">
        <f>IFERROR(__xludf.DUMMYFUNCTION("""COMPUTED_VALUE"""),"SERVIDORA CIVIL GIULIANE MOREIRA, NF 3031942")</f>
        <v>SERVIDORA CIVIL GIULIANE MOREIRA, NF 3031942</v>
      </c>
    </row>
    <row r="102" ht="43.5" customHeight="1">
      <c r="A102" s="109" t="str">
        <f>IFERROR(__xludf.DUMMYFUNCTION("""COMPUTED_VALUE"""),"FUNREBOM")</f>
        <v>FUNREBOM</v>
      </c>
      <c r="B102" s="109" t="str">
        <f>IFERROR(__xludf.DUMMYFUNCTION("""COMPUTED_VALUE"""),"Material Hospitalar")</f>
        <v>Material Hospitalar</v>
      </c>
      <c r="C102" s="109" t="str">
        <f>IFERROR(__xludf.DUMMYFUNCTION("""COMPUTED_VALUE"""),"3 - OUTRAS DESPESAS CORRENTES")</f>
        <v>3 - OUTRAS DESPESAS CORRENTES</v>
      </c>
      <c r="D102" s="110" t="str">
        <f>IFERROR(__xludf.DUMMYFUNCTION("""COMPUTED_VALUE"""),"ALMOXARIFADO")</f>
        <v>ALMOXARIFADO</v>
      </c>
      <c r="E102" s="109" t="str">
        <f>IFERROR(__xludf.DUMMYFUNCTION("""COMPUTED_VALUE"""),"RECURSOS VINCULADOS DO TESOURO")</f>
        <v>RECURSOS VINCULADOS DO TESOURO</v>
      </c>
      <c r="F102" s="109" t="str">
        <f>IFERROR(__xludf.DUMMYFUNCTION("""COMPUTED_VALUE"""),"NOVA")</f>
        <v>NOVA</v>
      </c>
      <c r="G102" s="111">
        <f>IFERROR(__xludf.DUMMYFUNCTION("""COMPUTED_VALUE"""),46266.0)</f>
        <v>46266</v>
      </c>
      <c r="H102" s="109" t="str">
        <f>IFERROR(__xludf.DUMMYFUNCTION("""COMPUTED_VALUE"""),"UN")</f>
        <v>UN</v>
      </c>
      <c r="I102" s="112">
        <f>IFERROR(__xludf.DUMMYFUNCTION("""COMPUTED_VALUE"""),13080.0)</f>
        <v>13080</v>
      </c>
      <c r="J102" s="110">
        <f>IFERROR(__xludf.DUMMYFUNCTION("""COMPUTED_VALUE"""),189044.5)</f>
        <v>189044.5</v>
      </c>
      <c r="K102" s="110" t="str">
        <f>IFERROR(__xludf.DUMMYFUNCTION("""COMPUTED_VALUE"""),"SERVIDORA CIVIL GIULIANE MOREIRA, NF 3031942")</f>
        <v>SERVIDORA CIVIL GIULIANE MOREIRA, NF 3031942</v>
      </c>
    </row>
    <row r="103" ht="43.5" customHeight="1">
      <c r="A103" s="105" t="str">
        <f>IFERROR(__xludf.DUMMYFUNCTION("""COMPUTED_VALUE"""),"FUNREBOM")</f>
        <v>FUNREBOM</v>
      </c>
      <c r="B103" s="105" t="str">
        <f>IFERROR(__xludf.DUMMYFUNCTION("""COMPUTED_VALUE"""),"Material Para Manutenção de Bens Imóveis")</f>
        <v>Material Para Manutenção de Bens Imóveis</v>
      </c>
      <c r="C103" s="105" t="str">
        <f>IFERROR(__xludf.DUMMYFUNCTION("""COMPUTED_VALUE"""),"3 - OUTRAS DESPESAS CORRENTES")</f>
        <v>3 - OUTRAS DESPESAS CORRENTES</v>
      </c>
      <c r="D103" s="106" t="str">
        <f>IFERROR(__xludf.DUMMYFUNCTION("""COMPUTED_VALUE"""),"PREFEITURA DEPMAT")</f>
        <v>PREFEITURA DEPMAT</v>
      </c>
      <c r="E103" s="105" t="str">
        <f>IFERROR(__xludf.DUMMYFUNCTION("""COMPUTED_VALUE"""),"RECURSOS VINCULADOS DO TESOURO")</f>
        <v>RECURSOS VINCULADOS DO TESOURO</v>
      </c>
      <c r="F103" s="105" t="str">
        <f>IFERROR(__xludf.DUMMYFUNCTION("""COMPUTED_VALUE"""),"NOVA")</f>
        <v>NOVA</v>
      </c>
      <c r="G103" s="107">
        <f>IFERROR(__xludf.DUMMYFUNCTION("""COMPUTED_VALUE"""),46204.0)</f>
        <v>46204</v>
      </c>
      <c r="H103" s="105" t="str">
        <f>IFERROR(__xludf.DUMMYFUNCTION("""COMPUTED_VALUE"""),"UN")</f>
        <v>UN</v>
      </c>
      <c r="I103" s="108">
        <f>IFERROR(__xludf.DUMMYFUNCTION("""COMPUTED_VALUE"""),54.0)</f>
        <v>54</v>
      </c>
      <c r="J103" s="106">
        <f>IFERROR(__xludf.DUMMYFUNCTION("""COMPUTED_VALUE"""),12467.2)</f>
        <v>12467.2</v>
      </c>
      <c r="K103" s="106" t="str">
        <f>IFERROR(__xludf.DUMMYFUNCTION("""COMPUTED_VALUE"""),"SERVIDORA CIVIL GIULIANE MOREIRA, NF 3031942")</f>
        <v>SERVIDORA CIVIL GIULIANE MOREIRA, NF 3031942</v>
      </c>
    </row>
    <row r="104" ht="43.5" customHeight="1">
      <c r="A104" s="109" t="str">
        <f>IFERROR(__xludf.DUMMYFUNCTION("""COMPUTED_VALUE"""),"FUNREBOM")</f>
        <v>FUNREBOM</v>
      </c>
      <c r="B104" s="109" t="str">
        <f>IFERROR(__xludf.DUMMYFUNCTION("""COMPUTED_VALUE"""),"Material Para Manutenção de Bens Móveis")</f>
        <v>Material Para Manutenção de Bens Móveis</v>
      </c>
      <c r="C104" s="109" t="str">
        <f>IFERROR(__xludf.DUMMYFUNCTION("""COMPUTED_VALUE"""),"3 - OUTRAS DESPESAS CORRENTES")</f>
        <v>3 - OUTRAS DESPESAS CORRENTES</v>
      </c>
      <c r="D104" s="110" t="str">
        <f>IFERROR(__xludf.DUMMYFUNCTION("""COMPUTED_VALUE"""),"SCC")</f>
        <v>SCC</v>
      </c>
      <c r="E104" s="109" t="str">
        <f>IFERROR(__xludf.DUMMYFUNCTION("""COMPUTED_VALUE"""),"RECURSOS VINCULADOS DO TESOURO")</f>
        <v>RECURSOS VINCULADOS DO TESOURO</v>
      </c>
      <c r="F104" s="109" t="str">
        <f>IFERROR(__xludf.DUMMYFUNCTION("""COMPUTED_VALUE"""),"NOVA")</f>
        <v>NOVA</v>
      </c>
      <c r="G104" s="111">
        <f>IFERROR(__xludf.DUMMYFUNCTION("""COMPUTED_VALUE"""),46266.0)</f>
        <v>46266</v>
      </c>
      <c r="H104" s="109" t="str">
        <f>IFERROR(__xludf.DUMMYFUNCTION("""COMPUTED_VALUE"""),"UN")</f>
        <v>UN</v>
      </c>
      <c r="I104" s="112">
        <f>IFERROR(__xludf.DUMMYFUNCTION("""COMPUTED_VALUE"""),138.0)</f>
        <v>138</v>
      </c>
      <c r="J104" s="110">
        <f>IFERROR(__xludf.DUMMYFUNCTION("""COMPUTED_VALUE"""),151824.24)</f>
        <v>151824.24</v>
      </c>
      <c r="K104" s="110" t="str">
        <f>IFERROR(__xludf.DUMMYFUNCTION("""COMPUTED_VALUE"""),"SERVIDORA CIVIL GIULIANE MOREIRA, NF 3031942")</f>
        <v>SERVIDORA CIVIL GIULIANE MOREIRA, NF 3031942</v>
      </c>
    </row>
    <row r="105" ht="43.5" customHeight="1">
      <c r="A105" s="105" t="str">
        <f>IFERROR(__xludf.DUMMYFUNCTION("""COMPUTED_VALUE"""),"FUNREBOM")</f>
        <v>FUNREBOM</v>
      </c>
      <c r="B105" s="105" t="str">
        <f>IFERROR(__xludf.DUMMYFUNCTION("""COMPUTED_VALUE"""),"Material Para Manutenção de Bens Móveis")</f>
        <v>Material Para Manutenção de Bens Móveis</v>
      </c>
      <c r="C105" s="105" t="str">
        <f>IFERROR(__xludf.DUMMYFUNCTION("""COMPUTED_VALUE"""),"4 - INVESTIMENTOS")</f>
        <v>4 - INVESTIMENTOS</v>
      </c>
      <c r="D105" s="106" t="str">
        <f>IFERROR(__xludf.DUMMYFUNCTION("""COMPUTED_VALUE"""),"PERÍCIA")</f>
        <v>PERÍCIA</v>
      </c>
      <c r="E105" s="105" t="str">
        <f>IFERROR(__xludf.DUMMYFUNCTION("""COMPUTED_VALUE"""),"RECURSOS VINCULADOS DO TESOURO")</f>
        <v>RECURSOS VINCULADOS DO TESOURO</v>
      </c>
      <c r="F105" s="105" t="str">
        <f>IFERROR(__xludf.DUMMYFUNCTION("""COMPUTED_VALUE"""),"NOVA")</f>
        <v>NOVA</v>
      </c>
      <c r="G105" s="107">
        <f>IFERROR(__xludf.DUMMYFUNCTION("""COMPUTED_VALUE"""),46204.0)</f>
        <v>46204</v>
      </c>
      <c r="H105" s="105" t="str">
        <f>IFERROR(__xludf.DUMMYFUNCTION("""COMPUTED_VALUE"""),"UN")</f>
        <v>UN</v>
      </c>
      <c r="I105" s="108">
        <f>IFERROR(__xludf.DUMMYFUNCTION("""COMPUTED_VALUE"""),1.0)</f>
        <v>1</v>
      </c>
      <c r="J105" s="106">
        <f>IFERROR(__xludf.DUMMYFUNCTION("""COMPUTED_VALUE"""),6990.4)</f>
        <v>6990.4</v>
      </c>
      <c r="K105" s="106" t="str">
        <f>IFERROR(__xludf.DUMMYFUNCTION("""COMPUTED_VALUE"""),"2º SGT BM ANDRE PORTO, NF 2980860")</f>
        <v>2º SGT BM ANDRE PORTO, NF 2980860</v>
      </c>
    </row>
    <row r="106" ht="43.5" customHeight="1">
      <c r="A106" s="109" t="str">
        <f>IFERROR(__xludf.DUMMYFUNCTION("""COMPUTED_VALUE"""),"FUNREBOM")</f>
        <v>FUNREBOM</v>
      </c>
      <c r="B106" s="109" t="str">
        <f>IFERROR(__xludf.DUMMYFUNCTION("""COMPUTED_VALUE"""),"Material de Construção")</f>
        <v>Material de Construção</v>
      </c>
      <c r="C106" s="109" t="str">
        <f>IFERROR(__xludf.DUMMYFUNCTION("""COMPUTED_VALUE"""),"3 - OUTRAS DESPESAS CORRENTES")</f>
        <v>3 - OUTRAS DESPESAS CORRENTES</v>
      </c>
      <c r="D106" s="110" t="str">
        <f>IFERROR(__xludf.DUMMYFUNCTION("""COMPUTED_VALUE"""),"PREFEITURA DAL")</f>
        <v>PREFEITURA DAL</v>
      </c>
      <c r="E106" s="109" t="str">
        <f>IFERROR(__xludf.DUMMYFUNCTION("""COMPUTED_VALUE"""),"RECURSOS VINCULADOS DO TESOURO")</f>
        <v>RECURSOS VINCULADOS DO TESOURO</v>
      </c>
      <c r="F106" s="109" t="str">
        <f>IFERROR(__xludf.DUMMYFUNCTION("""COMPUTED_VALUE"""),"NOVA")</f>
        <v>NOVA</v>
      </c>
      <c r="G106" s="111">
        <f>IFERROR(__xludf.DUMMYFUNCTION("""COMPUTED_VALUE"""),46266.0)</f>
        <v>46266</v>
      </c>
      <c r="H106" s="109" t="str">
        <f>IFERROR(__xludf.DUMMYFUNCTION("""COMPUTED_VALUE"""),"UN")</f>
        <v>UN</v>
      </c>
      <c r="I106" s="112">
        <f>IFERROR(__xludf.DUMMYFUNCTION("""COMPUTED_VALUE"""),1281.0)</f>
        <v>1281</v>
      </c>
      <c r="J106" s="110">
        <f>IFERROR(__xludf.DUMMYFUNCTION("""COMPUTED_VALUE"""),85820.0)</f>
        <v>85820</v>
      </c>
      <c r="K106" s="110" t="str">
        <f>IFERROR(__xludf.DUMMYFUNCTION("""COMPUTED_VALUE"""),"SERVIDORA CIVIL GIULIANE MOREIRA, NF 3031942")</f>
        <v>SERVIDORA CIVIL GIULIANE MOREIRA, NF 3031942</v>
      </c>
    </row>
    <row r="107" ht="43.5" customHeight="1">
      <c r="A107" s="105" t="str">
        <f>IFERROR(__xludf.DUMMYFUNCTION("""COMPUTED_VALUE"""),"FUNREBOM")</f>
        <v>FUNREBOM</v>
      </c>
      <c r="B107" s="105" t="str">
        <f>IFERROR(__xludf.DUMMYFUNCTION("""COMPUTED_VALUE"""),"Material de Consumo Geral")</f>
        <v>Material de Consumo Geral</v>
      </c>
      <c r="C107" s="105" t="str">
        <f>IFERROR(__xludf.DUMMYFUNCTION("""COMPUTED_VALUE"""),"3 - OUTRAS DESPESAS CORRENTES")</f>
        <v>3 - OUTRAS DESPESAS CORRENTES</v>
      </c>
      <c r="D107" s="106" t="str">
        <f>IFERROR(__xludf.DUMMYFUNCTION("""COMPUTED_VALUE"""),"ALMOXARIFADO")</f>
        <v>ALMOXARIFADO</v>
      </c>
      <c r="E107" s="105" t="str">
        <f>IFERROR(__xludf.DUMMYFUNCTION("""COMPUTED_VALUE"""),"RECURSOS VINCULADOS DO TESOURO")</f>
        <v>RECURSOS VINCULADOS DO TESOURO</v>
      </c>
      <c r="F107" s="105" t="str">
        <f>IFERROR(__xludf.DUMMYFUNCTION("""COMPUTED_VALUE"""),"NOVA")</f>
        <v>NOVA</v>
      </c>
      <c r="G107" s="107">
        <f>IFERROR(__xludf.DUMMYFUNCTION("""COMPUTED_VALUE"""),46235.0)</f>
        <v>46235</v>
      </c>
      <c r="H107" s="105" t="str">
        <f>IFERROR(__xludf.DUMMYFUNCTION("""COMPUTED_VALUE"""),"UN")</f>
        <v>UN</v>
      </c>
      <c r="I107" s="108">
        <f>IFERROR(__xludf.DUMMYFUNCTION("""COMPUTED_VALUE"""),530.0)</f>
        <v>530</v>
      </c>
      <c r="J107" s="106">
        <f>IFERROR(__xludf.DUMMYFUNCTION("""COMPUTED_VALUE"""),46450.0)</f>
        <v>46450</v>
      </c>
      <c r="K107" s="106" t="str">
        <f>IFERROR(__xludf.DUMMYFUNCTION("""COMPUTED_VALUE"""),"SERVIDORA CIVIL GIULIANE MOREIRA, NF 3031942")</f>
        <v>SERVIDORA CIVIL GIULIANE MOREIRA, NF 3031942</v>
      </c>
    </row>
    <row r="108" ht="43.5" customHeight="1">
      <c r="A108" s="109" t="str">
        <f>IFERROR(__xludf.DUMMYFUNCTION("""COMPUTED_VALUE"""),"FUNREBOM")</f>
        <v>FUNREBOM</v>
      </c>
      <c r="B108" s="109" t="str">
        <f>IFERROR(__xludf.DUMMYFUNCTION("""COMPUTED_VALUE"""),"Material de Copa e Cozinha")</f>
        <v>Material de Copa e Cozinha</v>
      </c>
      <c r="C108" s="109" t="str">
        <f>IFERROR(__xludf.DUMMYFUNCTION("""COMPUTED_VALUE"""),"3 - OUTRAS DESPESAS CORRENTES")</f>
        <v>3 - OUTRAS DESPESAS CORRENTES</v>
      </c>
      <c r="D108" s="110" t="str">
        <f>IFERROR(__xludf.DUMMYFUNCTION("""COMPUTED_VALUE"""),"ALMOXARIFADO")</f>
        <v>ALMOXARIFADO</v>
      </c>
      <c r="E108" s="109" t="str">
        <f>IFERROR(__xludf.DUMMYFUNCTION("""COMPUTED_VALUE"""),"RECURSOS DE CAIXA DO TESOURO")</f>
        <v>RECURSOS DE CAIXA DO TESOURO</v>
      </c>
      <c r="F108" s="109" t="str">
        <f>IFERROR(__xludf.DUMMYFUNCTION("""COMPUTED_VALUE"""),"NOVA")</f>
        <v>NOVA</v>
      </c>
      <c r="G108" s="111">
        <f>IFERROR(__xludf.DUMMYFUNCTION("""COMPUTED_VALUE"""),46204.0)</f>
        <v>46204</v>
      </c>
      <c r="H108" s="109" t="str">
        <f>IFERROR(__xludf.DUMMYFUNCTION("""COMPUTED_VALUE"""),"UN")</f>
        <v>UN</v>
      </c>
      <c r="I108" s="112">
        <f>IFERROR(__xludf.DUMMYFUNCTION("""COMPUTED_VALUE"""),830.0)</f>
        <v>830</v>
      </c>
      <c r="J108" s="110">
        <f>IFERROR(__xludf.DUMMYFUNCTION("""COMPUTED_VALUE"""),9966.0)</f>
        <v>9966</v>
      </c>
      <c r="K108" s="110" t="str">
        <f>IFERROR(__xludf.DUMMYFUNCTION("""COMPUTED_VALUE"""),"SERVIDORA CIVIL GIULIANE MOREIRA, NF 3031942")</f>
        <v>SERVIDORA CIVIL GIULIANE MOREIRA, NF 3031942</v>
      </c>
    </row>
    <row r="109" ht="43.5" customHeight="1">
      <c r="A109" s="105" t="str">
        <f>IFERROR(__xludf.DUMMYFUNCTION("""COMPUTED_VALUE"""),"FUNREBOM")</f>
        <v>FUNREBOM</v>
      </c>
      <c r="B109" s="105" t="str">
        <f>IFERROR(__xludf.DUMMYFUNCTION("""COMPUTED_VALUE"""),"Material de Expediente")</f>
        <v>Material de Expediente</v>
      </c>
      <c r="C109" s="105" t="str">
        <f>IFERROR(__xludf.DUMMYFUNCTION("""COMPUTED_VALUE"""),"3 - OUTRAS DESPESAS CORRENTES")</f>
        <v>3 - OUTRAS DESPESAS CORRENTES</v>
      </c>
      <c r="D109" s="106" t="str">
        <f>IFERROR(__xludf.DUMMYFUNCTION("""COMPUTED_VALUE"""),"PERÍCIA")</f>
        <v>PERÍCIA</v>
      </c>
      <c r="E109" s="105" t="str">
        <f>IFERROR(__xludf.DUMMYFUNCTION("""COMPUTED_VALUE"""),"RECURSOS VINCULADOS DO TESOURO")</f>
        <v>RECURSOS VINCULADOS DO TESOURO</v>
      </c>
      <c r="F109" s="105" t="str">
        <f>IFERROR(__xludf.DUMMYFUNCTION("""COMPUTED_VALUE"""),"NOVA")</f>
        <v>NOVA</v>
      </c>
      <c r="G109" s="107">
        <f>IFERROR(__xludf.DUMMYFUNCTION("""COMPUTED_VALUE"""),46204.0)</f>
        <v>46204</v>
      </c>
      <c r="H109" s="105" t="str">
        <f>IFERROR(__xludf.DUMMYFUNCTION("""COMPUTED_VALUE"""),"UN")</f>
        <v>UN</v>
      </c>
      <c r="I109" s="108">
        <f>IFERROR(__xludf.DUMMYFUNCTION("""COMPUTED_VALUE"""),1198.0)</f>
        <v>1198</v>
      </c>
      <c r="J109" s="106">
        <f>IFERROR(__xludf.DUMMYFUNCTION("""COMPUTED_VALUE"""),13239.2)</f>
        <v>13239.2</v>
      </c>
      <c r="K109" s="106" t="str">
        <f>IFERROR(__xludf.DUMMYFUNCTION("""COMPUTED_VALUE"""),"SERVIDORA CIVIL GIULIANE MOREIRA, NF 3031942")</f>
        <v>SERVIDORA CIVIL GIULIANE MOREIRA, NF 3031942</v>
      </c>
    </row>
    <row r="110" ht="43.5" customHeight="1">
      <c r="A110" s="109" t="str">
        <f>IFERROR(__xludf.DUMMYFUNCTION("""COMPUTED_VALUE"""),"FUNREBOM")</f>
        <v>FUNREBOM</v>
      </c>
      <c r="B110" s="109" t="str">
        <f>IFERROR(__xludf.DUMMYFUNCTION("""COMPUTED_VALUE"""),"Material de Limpeza e Produção de Higienização")</f>
        <v>Material de Limpeza e Produção de Higienização</v>
      </c>
      <c r="C110" s="109" t="str">
        <f>IFERROR(__xludf.DUMMYFUNCTION("""COMPUTED_VALUE"""),"3 - OUTRAS DESPESAS CORRENTES")</f>
        <v>3 - OUTRAS DESPESAS CORRENTES</v>
      </c>
      <c r="D110" s="110" t="str">
        <f>IFERROR(__xludf.DUMMYFUNCTION("""COMPUTED_VALUE"""),"PREFEITURA DAL")</f>
        <v>PREFEITURA DAL</v>
      </c>
      <c r="E110" s="109" t="str">
        <f>IFERROR(__xludf.DUMMYFUNCTION("""COMPUTED_VALUE"""),"RECURSOS VINCULADOS DO TESOURO")</f>
        <v>RECURSOS VINCULADOS DO TESOURO</v>
      </c>
      <c r="F110" s="109" t="str">
        <f>IFERROR(__xludf.DUMMYFUNCTION("""COMPUTED_VALUE"""),"NOVA")</f>
        <v>NOVA</v>
      </c>
      <c r="G110" s="111">
        <f>IFERROR(__xludf.DUMMYFUNCTION("""COMPUTED_VALUE"""),46235.0)</f>
        <v>46235</v>
      </c>
      <c r="H110" s="109" t="str">
        <f>IFERROR(__xludf.DUMMYFUNCTION("""COMPUTED_VALUE"""),"UN")</f>
        <v>UN</v>
      </c>
      <c r="I110" s="112">
        <f>IFERROR(__xludf.DUMMYFUNCTION("""COMPUTED_VALUE"""),10226.0)</f>
        <v>10226</v>
      </c>
      <c r="J110" s="110">
        <f>IFERROR(__xludf.DUMMYFUNCTION("""COMPUTED_VALUE"""),82437.0)</f>
        <v>82437</v>
      </c>
      <c r="K110" s="110" t="str">
        <f>IFERROR(__xludf.DUMMYFUNCTION("""COMPUTED_VALUE"""),"SERVIDORA CIVIL GIULIANE MOREIRA, NF 3031942")</f>
        <v>SERVIDORA CIVIL GIULIANE MOREIRA, NF 3031942</v>
      </c>
    </row>
    <row r="111" ht="43.5" customHeight="1">
      <c r="A111" s="105" t="str">
        <f>IFERROR(__xludf.DUMMYFUNCTION("""COMPUTED_VALUE"""),"FUNREBOM")</f>
        <v>FUNREBOM</v>
      </c>
      <c r="B111" s="105" t="str">
        <f>IFERROR(__xludf.DUMMYFUNCTION("""COMPUTED_VALUE"""),"Material de Proteção e Segurança")</f>
        <v>Material de Proteção e Segurança</v>
      </c>
      <c r="C111" s="105" t="str">
        <f>IFERROR(__xludf.DUMMYFUNCTION("""COMPUTED_VALUE"""),"3 - OUTRAS DESPESAS CORRENTES")</f>
        <v>3 - OUTRAS DESPESAS CORRENTES</v>
      </c>
      <c r="D111" s="106" t="str">
        <f>IFERROR(__xludf.DUMMYFUNCTION("""COMPUTED_VALUE"""),"MATERIAL BÉLICO")</f>
        <v>MATERIAL BÉLICO</v>
      </c>
      <c r="E111" s="105" t="str">
        <f>IFERROR(__xludf.DUMMYFUNCTION("""COMPUTED_VALUE"""),"RECURSOS VINCULADOS DO TESOURO")</f>
        <v>RECURSOS VINCULADOS DO TESOURO</v>
      </c>
      <c r="F111" s="105" t="str">
        <f>IFERROR(__xludf.DUMMYFUNCTION("""COMPUTED_VALUE"""),"NOVA")</f>
        <v>NOVA</v>
      </c>
      <c r="G111" s="107">
        <f>IFERROR(__xludf.DUMMYFUNCTION("""COMPUTED_VALUE"""),46266.0)</f>
        <v>46266</v>
      </c>
      <c r="H111" s="105" t="str">
        <f>IFERROR(__xludf.DUMMYFUNCTION("""COMPUTED_VALUE"""),"UN")</f>
        <v>UN</v>
      </c>
      <c r="I111" s="108">
        <f>IFERROR(__xludf.DUMMYFUNCTION("""COMPUTED_VALUE"""),6004.0)</f>
        <v>6004</v>
      </c>
      <c r="J111" s="106">
        <f>IFERROR(__xludf.DUMMYFUNCTION("""COMPUTED_VALUE"""),504862.0)</f>
        <v>504862</v>
      </c>
      <c r="K111" s="106" t="str">
        <f>IFERROR(__xludf.DUMMYFUNCTION("""COMPUTED_VALUE"""),"ST BM FLAVIO MENENGUSSI DA SILVA, NF 904100")</f>
        <v>ST BM FLAVIO MENENGUSSI DA SILVA, NF 904100</v>
      </c>
    </row>
    <row r="112" ht="43.5" customHeight="1">
      <c r="A112" s="109" t="str">
        <f>IFERROR(__xludf.DUMMYFUNCTION("""COMPUTED_VALUE"""),"FUNREBOM")</f>
        <v>FUNREBOM</v>
      </c>
      <c r="B112" s="109" t="str">
        <f>IFERROR(__xludf.DUMMYFUNCTION("""COMPUTED_VALUE"""),"Material de Proteção e Segurança")</f>
        <v>Material de Proteção e Segurança</v>
      </c>
      <c r="C112" s="109" t="str">
        <f>IFERROR(__xludf.DUMMYFUNCTION("""COMPUTED_VALUE"""),"4 - INVESTIMENTOS")</f>
        <v>4 - INVESTIMENTOS</v>
      </c>
      <c r="D112" s="110" t="str">
        <f>IFERROR(__xludf.DUMMYFUNCTION("""COMPUTED_VALUE"""),"2° BBM")</f>
        <v>2° BBM</v>
      </c>
      <c r="E112" s="109" t="str">
        <f>IFERROR(__xludf.DUMMYFUNCTION("""COMPUTED_VALUE"""),"RECURSOS DE CAIXA DO TESOURO")</f>
        <v>RECURSOS DE CAIXA DO TESOURO</v>
      </c>
      <c r="F112" s="109" t="str">
        <f>IFERROR(__xludf.DUMMYFUNCTION("""COMPUTED_VALUE"""),"NOVA")</f>
        <v>NOVA</v>
      </c>
      <c r="G112" s="111">
        <f>IFERROR(__xludf.DUMMYFUNCTION("""COMPUTED_VALUE"""),46174.0)</f>
        <v>46174</v>
      </c>
      <c r="H112" s="109" t="str">
        <f>IFERROR(__xludf.DUMMYFUNCTION("""COMPUTED_VALUE"""),"UN")</f>
        <v>UN</v>
      </c>
      <c r="I112" s="112">
        <f>IFERROR(__xludf.DUMMYFUNCTION("""COMPUTED_VALUE"""),2.0)</f>
        <v>2</v>
      </c>
      <c r="J112" s="110">
        <f>IFERROR(__xludf.DUMMYFUNCTION("""COMPUTED_VALUE"""),1700.0)</f>
        <v>1700</v>
      </c>
      <c r="K112" s="110" t="str">
        <f>IFERROR(__xludf.DUMMYFUNCTION("""COMPUTED_VALUE"""),"SERVIDORA CIVIL GIULIANE MOREIRA, NF 3031942")</f>
        <v>SERVIDORA CIVIL GIULIANE MOREIRA, NF 3031942</v>
      </c>
    </row>
    <row r="113" ht="43.5" customHeight="1">
      <c r="A113" s="105" t="str">
        <f>IFERROR(__xludf.DUMMYFUNCTION("""COMPUTED_VALUE"""),"FUNREBOM")</f>
        <v>FUNREBOM</v>
      </c>
      <c r="B113" s="105" t="str">
        <f>IFERROR(__xludf.DUMMYFUNCTION("""COMPUTED_VALUE"""),"Mobiliário em Geral")</f>
        <v>Mobiliário em Geral</v>
      </c>
      <c r="C113" s="105" t="str">
        <f>IFERROR(__xludf.DUMMYFUNCTION("""COMPUTED_VALUE"""),"3 - OUTRAS DESPESAS CORRENTES")</f>
        <v>3 - OUTRAS DESPESAS CORRENTES</v>
      </c>
      <c r="D113" s="106" t="str">
        <f>IFERROR(__xludf.DUMMYFUNCTION("""COMPUTED_VALUE"""),"DOP")</f>
        <v>DOP</v>
      </c>
      <c r="E113" s="105" t="str">
        <f>IFERROR(__xludf.DUMMYFUNCTION("""COMPUTED_VALUE"""),"RECURSOS VINCULADOS DO TESOURO")</f>
        <v>RECURSOS VINCULADOS DO TESOURO</v>
      </c>
      <c r="F113" s="105" t="str">
        <f>IFERROR(__xludf.DUMMYFUNCTION("""COMPUTED_VALUE"""),"NOVA")</f>
        <v>NOVA</v>
      </c>
      <c r="G113" s="107">
        <f>IFERROR(__xludf.DUMMYFUNCTION("""COMPUTED_VALUE"""),46174.0)</f>
        <v>46174</v>
      </c>
      <c r="H113" s="105" t="str">
        <f>IFERROR(__xludf.DUMMYFUNCTION("""COMPUTED_VALUE"""),"UN")</f>
        <v>UN</v>
      </c>
      <c r="I113" s="108">
        <f>IFERROR(__xludf.DUMMYFUNCTION("""COMPUTED_VALUE"""),2.0)</f>
        <v>2</v>
      </c>
      <c r="J113" s="106">
        <f>IFERROR(__xludf.DUMMYFUNCTION("""COMPUTED_VALUE"""),351.8)</f>
        <v>351.8</v>
      </c>
      <c r="K113" s="106" t="str">
        <f>IFERROR(__xludf.DUMMYFUNCTION("""COMPUTED_VALUE"""),"SERVIDORA CIVIL ALESSANDRA SANT´ANNA RUFINO, NF 2956667")</f>
        <v>SERVIDORA CIVIL ALESSANDRA SANT´ANNA RUFINO, NF 2956667</v>
      </c>
    </row>
    <row r="114" ht="43.5" customHeight="1">
      <c r="A114" s="109" t="str">
        <f>IFERROR(__xludf.DUMMYFUNCTION("""COMPUTED_VALUE"""),"FUNREBOM")</f>
        <v>FUNREBOM</v>
      </c>
      <c r="B114" s="109" t="str">
        <f>IFERROR(__xludf.DUMMYFUNCTION("""COMPUTED_VALUE"""),"Máquinas, Utensílios e Equipamentos Diversos")</f>
        <v>Máquinas, Utensílios e Equipamentos Diversos</v>
      </c>
      <c r="C114" s="109" t="str">
        <f>IFERROR(__xludf.DUMMYFUNCTION("""COMPUTED_VALUE"""),"4 - INVESTIMENTOS")</f>
        <v>4 - INVESTIMENTOS</v>
      </c>
      <c r="D114" s="110" t="str">
        <f>IFERROR(__xludf.DUMMYFUNCTION("""COMPUTED_VALUE"""),"DEPMAT 2026")</f>
        <v>DEPMAT 2026</v>
      </c>
      <c r="E114" s="109" t="str">
        <f>IFERROR(__xludf.DUMMYFUNCTION("""COMPUTED_VALUE"""),"RECURSOS DE CAIXA DO TESOURO")</f>
        <v>RECURSOS DE CAIXA DO TESOURO</v>
      </c>
      <c r="F114" s="109" t="str">
        <f>IFERROR(__xludf.DUMMYFUNCTION("""COMPUTED_VALUE"""),"NOVA")</f>
        <v>NOVA</v>
      </c>
      <c r="G114" s="111">
        <f>IFERROR(__xludf.DUMMYFUNCTION("""COMPUTED_VALUE"""),46266.0)</f>
        <v>46266</v>
      </c>
      <c r="H114" s="109" t="str">
        <f>IFERROR(__xludf.DUMMYFUNCTION("""COMPUTED_VALUE"""),"UN")</f>
        <v>UN</v>
      </c>
      <c r="I114" s="112">
        <f>IFERROR(__xludf.DUMMYFUNCTION("""COMPUTED_VALUE"""),13.0)</f>
        <v>13</v>
      </c>
      <c r="J114" s="110">
        <f>IFERROR(__xludf.DUMMYFUNCTION("""COMPUTED_VALUE"""),54051.24)</f>
        <v>54051.24</v>
      </c>
      <c r="K114" s="110" t="str">
        <f>IFERROR(__xludf.DUMMYFUNCTION("""COMPUTED_VALUE"""),"ST BM JOÃO ROSA JUNIOR, NF 903453")</f>
        <v>ST BM JOÃO ROSA JUNIOR, NF 903453</v>
      </c>
    </row>
    <row r="115" ht="43.5" customHeight="1">
      <c r="A115" s="105" t="str">
        <f>IFERROR(__xludf.DUMMYFUNCTION("""COMPUTED_VALUE"""),"FUNREBOM")</f>
        <v>FUNREBOM</v>
      </c>
      <c r="B115" s="105" t="str">
        <f>IFERROR(__xludf.DUMMYFUNCTION("""COMPUTED_VALUE"""),"Peças não incorporáveis a imóveis")</f>
        <v>Peças não incorporáveis a imóveis</v>
      </c>
      <c r="C115" s="105" t="str">
        <f>IFERROR(__xludf.DUMMYFUNCTION("""COMPUTED_VALUE"""),"3 - OUTRAS DESPESAS CORRENTES")</f>
        <v>3 - OUTRAS DESPESAS CORRENTES</v>
      </c>
      <c r="D115" s="106" t="str">
        <f>IFERROR(__xludf.DUMMYFUNCTION("""COMPUTED_VALUE"""),"1° BBM")</f>
        <v>1° BBM</v>
      </c>
      <c r="E115" s="105" t="str">
        <f>IFERROR(__xludf.DUMMYFUNCTION("""COMPUTED_VALUE"""),"RECURSOS VINCULADOS DO TESOURO")</f>
        <v>RECURSOS VINCULADOS DO TESOURO</v>
      </c>
      <c r="F115" s="105" t="str">
        <f>IFERROR(__xludf.DUMMYFUNCTION("""COMPUTED_VALUE"""),"NOVA")</f>
        <v>NOVA</v>
      </c>
      <c r="G115" s="107">
        <f>IFERROR(__xludf.DUMMYFUNCTION("""COMPUTED_VALUE"""),46174.0)</f>
        <v>46174</v>
      </c>
      <c r="H115" s="105" t="str">
        <f>IFERROR(__xludf.DUMMYFUNCTION("""COMPUTED_VALUE"""),"UN")</f>
        <v>UN</v>
      </c>
      <c r="I115" s="108">
        <f>IFERROR(__xludf.DUMMYFUNCTION("""COMPUTED_VALUE"""),6.0)</f>
        <v>6</v>
      </c>
      <c r="J115" s="106">
        <f>IFERROR(__xludf.DUMMYFUNCTION("""COMPUTED_VALUE"""),1800.0)</f>
        <v>1800</v>
      </c>
      <c r="K115" s="106" t="str">
        <f>IFERROR(__xludf.DUMMYFUNCTION("""COMPUTED_VALUE"""),"MAJ QOCBM MARCIO DA COSTA CAVACHINI, NF 2758512")</f>
        <v>MAJ QOCBM MARCIO DA COSTA CAVACHINI, NF 2758512</v>
      </c>
    </row>
    <row r="116" ht="43.5" customHeight="1">
      <c r="A116" s="109" t="str">
        <f>IFERROR(__xludf.DUMMYFUNCTION("""COMPUTED_VALUE"""),"FUNREBOM")</f>
        <v>FUNREBOM</v>
      </c>
      <c r="B116" s="109" t="str">
        <f>IFERROR(__xludf.DUMMYFUNCTION("""COMPUTED_VALUE"""),"Serviços Técnicos Profissionais")</f>
        <v>Serviços Técnicos Profissionais</v>
      </c>
      <c r="C116" s="109" t="str">
        <f>IFERROR(__xludf.DUMMYFUNCTION("""COMPUTED_VALUE"""),"3 - OUTRAS DESPESAS CORRENTES")</f>
        <v>3 - OUTRAS DESPESAS CORRENTES</v>
      </c>
      <c r="D116" s="110" t="str">
        <f>IFERROR(__xludf.DUMMYFUNCTION("""COMPUTED_VALUE"""),"UECI")</f>
        <v>UECI</v>
      </c>
      <c r="E116" s="109" t="str">
        <f>IFERROR(__xludf.DUMMYFUNCTION("""COMPUTED_VALUE"""),"RECURSOS VINCULADOS DO TESOURO")</f>
        <v>RECURSOS VINCULADOS DO TESOURO</v>
      </c>
      <c r="F116" s="109" t="str">
        <f>IFERROR(__xludf.DUMMYFUNCTION("""COMPUTED_VALUE"""),"NOVA")</f>
        <v>NOVA</v>
      </c>
      <c r="G116" s="111">
        <f>IFERROR(__xludf.DUMMYFUNCTION("""COMPUTED_VALUE"""),46266.0)</f>
        <v>46266</v>
      </c>
      <c r="H116" s="109" t="str">
        <f>IFERROR(__xludf.DUMMYFUNCTION("""COMPUTED_VALUE"""),"UN")</f>
        <v>UN</v>
      </c>
      <c r="I116" s="112">
        <f>IFERROR(__xludf.DUMMYFUNCTION("""COMPUTED_VALUE"""),7.0)</f>
        <v>7</v>
      </c>
      <c r="J116" s="110">
        <f>IFERROR(__xludf.DUMMYFUNCTION("""COMPUTED_VALUE"""),44750.0)</f>
        <v>44750</v>
      </c>
      <c r="K116" s="110" t="str">
        <f>IFERROR(__xludf.DUMMYFUNCTION("""COMPUTED_VALUE"""),"CAP QOCBM GUILHERME MARTINELLI SCHULZ, NF 3693864")</f>
        <v>CAP QOCBM GUILHERME MARTINELLI SCHULZ, NF 3693864</v>
      </c>
    </row>
    <row r="117" ht="43.5" customHeight="1">
      <c r="A117" s="105" t="str">
        <f>IFERROR(__xludf.DUMMYFUNCTION("""COMPUTED_VALUE"""),"FUNREBOM")</f>
        <v>FUNREBOM</v>
      </c>
      <c r="B117" s="105" t="str">
        <f>IFERROR(__xludf.DUMMYFUNCTION("""COMPUTED_VALUE"""),"TI - Equipamentos de Processamento de Dados")</f>
        <v>TI - Equipamentos de Processamento de Dados</v>
      </c>
      <c r="C117" s="105" t="str">
        <f>IFERROR(__xludf.DUMMYFUNCTION("""COMPUTED_VALUE"""),"4 - INVESTIMENTOS")</f>
        <v>4 - INVESTIMENTOS</v>
      </c>
      <c r="D117" s="106" t="str">
        <f>IFERROR(__xludf.DUMMYFUNCTION("""COMPUTED_VALUE"""),"GTI 2026")</f>
        <v>GTI 2026</v>
      </c>
      <c r="E117" s="105" t="str">
        <f>IFERROR(__xludf.DUMMYFUNCTION("""COMPUTED_VALUE"""),"RECURSOS VINCULADOS DO TESOURO")</f>
        <v>RECURSOS VINCULADOS DO TESOURO</v>
      </c>
      <c r="F117" s="105" t="str">
        <f>IFERROR(__xludf.DUMMYFUNCTION("""COMPUTED_VALUE"""),"NOVA")</f>
        <v>NOVA</v>
      </c>
      <c r="G117" s="107">
        <f>IFERROR(__xludf.DUMMYFUNCTION("""COMPUTED_VALUE"""),46266.0)</f>
        <v>46266</v>
      </c>
      <c r="H117" s="105" t="str">
        <f>IFERROR(__xludf.DUMMYFUNCTION("""COMPUTED_VALUE"""),"UN")</f>
        <v>UN</v>
      </c>
      <c r="I117" s="108">
        <f>IFERROR(__xludf.DUMMYFUNCTION("""COMPUTED_VALUE"""),3.0)</f>
        <v>3</v>
      </c>
      <c r="J117" s="106">
        <f>IFERROR(__xludf.DUMMYFUNCTION("""COMPUTED_VALUE"""),330457.0)</f>
        <v>330457</v>
      </c>
      <c r="K117" s="106" t="str">
        <f>IFERROR(__xludf.DUMMYFUNCTION("""COMPUTED_VALUE"""),"2º TEN QOABM SONALY WESLENY DE FÁTIMA DA SILVA RIBEIRO, NF 903842")</f>
        <v>2º TEN QOABM SONALY WESLENY DE FÁTIMA DA SILVA RIBEIRO, NF 903842</v>
      </c>
    </row>
    <row r="118" ht="43.5" customHeight="1">
      <c r="A118" s="109" t="str">
        <f>IFERROR(__xludf.DUMMYFUNCTION("""COMPUTED_VALUE"""),"FUNREBOM")</f>
        <v>FUNREBOM</v>
      </c>
      <c r="B118" s="109" t="str">
        <f>IFERROR(__xludf.DUMMYFUNCTION("""COMPUTED_VALUE"""),"TI - Locações / Aquisição de Softwares")</f>
        <v>TI - Locações / Aquisição de Softwares</v>
      </c>
      <c r="C118" s="109" t="str">
        <f>IFERROR(__xludf.DUMMYFUNCTION("""COMPUTED_VALUE"""),"4 - INVESTIMENTOS")</f>
        <v>4 - INVESTIMENTOS</v>
      </c>
      <c r="D118" s="110" t="str">
        <f>IFERROR(__xludf.DUMMYFUNCTION("""COMPUTED_VALUE"""),"GTI 2026")</f>
        <v>GTI 2026</v>
      </c>
      <c r="E118" s="109" t="str">
        <f>IFERROR(__xludf.DUMMYFUNCTION("""COMPUTED_VALUE"""),"RECURSOS VINCULADOS DO TESOURO")</f>
        <v>RECURSOS VINCULADOS DO TESOURO</v>
      </c>
      <c r="F118" s="109" t="str">
        <f>IFERROR(__xludf.DUMMYFUNCTION("""COMPUTED_VALUE"""),"NOVA")</f>
        <v>NOVA</v>
      </c>
      <c r="G118" s="111">
        <f>IFERROR(__xludf.DUMMYFUNCTION("""COMPUTED_VALUE"""),46266.0)</f>
        <v>46266</v>
      </c>
      <c r="H118" s="109" t="str">
        <f>IFERROR(__xludf.DUMMYFUNCTION("""COMPUTED_VALUE"""),"UN")</f>
        <v>UN</v>
      </c>
      <c r="I118" s="112">
        <f>IFERROR(__xludf.DUMMYFUNCTION("""COMPUTED_VALUE"""),1.0)</f>
        <v>1</v>
      </c>
      <c r="J118" s="110">
        <f>IFERROR(__xludf.DUMMYFUNCTION("""COMPUTED_VALUE"""),2500000.0)</f>
        <v>2500000</v>
      </c>
      <c r="K118" s="110" t="str">
        <f>IFERROR(__xludf.DUMMYFUNCTION("""COMPUTED_VALUE"""),"CAP CAVACHINI/CAP SHULZ/TEN BOREL/TEN SONALY/GIULIANE")</f>
        <v>CAP CAVACHINI/CAP SHULZ/TEN BOREL/TEN SONALY/GIULIANE</v>
      </c>
    </row>
    <row r="119" ht="43.5" customHeight="1">
      <c r="A119" s="105" t="str">
        <f>IFERROR(__xludf.DUMMYFUNCTION("""COMPUTED_VALUE"""),"FUNREBOM")</f>
        <v>FUNREBOM</v>
      </c>
      <c r="B119" s="105" t="str">
        <f>IFERROR(__xludf.DUMMYFUNCTION("""COMPUTED_VALUE"""),"TI: Locações de Softwares")</f>
        <v>TI: Locações de Softwares</v>
      </c>
      <c r="C119" s="105" t="str">
        <f>IFERROR(__xludf.DUMMYFUNCTION("""COMPUTED_VALUE"""),"3 - OUTRAS DESPESAS CORRENTES")</f>
        <v>3 - OUTRAS DESPESAS CORRENTES</v>
      </c>
      <c r="D119" s="106" t="str">
        <f>IFERROR(__xludf.DUMMYFUNCTION("""COMPUTED_VALUE"""),"GTI 2026")</f>
        <v>GTI 2026</v>
      </c>
      <c r="E119" s="105" t="str">
        <f>IFERROR(__xludf.DUMMYFUNCTION("""COMPUTED_VALUE"""),"RECURSOS VINCULADOS DO TESOURO")</f>
        <v>RECURSOS VINCULADOS DO TESOURO</v>
      </c>
      <c r="F119" s="105" t="str">
        <f>IFERROR(__xludf.DUMMYFUNCTION("""COMPUTED_VALUE"""),"NOVA")</f>
        <v>NOVA</v>
      </c>
      <c r="G119" s="107">
        <f>IFERROR(__xludf.DUMMYFUNCTION("""COMPUTED_VALUE"""),46266.0)</f>
        <v>46266</v>
      </c>
      <c r="H119" s="105" t="str">
        <f>IFERROR(__xludf.DUMMYFUNCTION("""COMPUTED_VALUE"""),"UN")</f>
        <v>UN</v>
      </c>
      <c r="I119" s="108">
        <f>IFERROR(__xludf.DUMMYFUNCTION("""COMPUTED_VALUE"""),5.0)</f>
        <v>5</v>
      </c>
      <c r="J119" s="106">
        <f>IFERROR(__xludf.DUMMYFUNCTION("""COMPUTED_VALUE"""),75000.0)</f>
        <v>75000</v>
      </c>
      <c r="K119" s="106" t="str">
        <f>IFERROR(__xludf.DUMMYFUNCTION("""COMPUTED_VALUE"""),"MAJ QOCBM MARCIO DA COSTA CAVACHINI, NF 2758512")</f>
        <v>MAJ QOCBM MARCIO DA COSTA CAVACHINI, NF 2758512</v>
      </c>
    </row>
    <row r="120" ht="43.5" customHeight="1">
      <c r="A120" s="109" t="str">
        <f>IFERROR(__xludf.DUMMYFUNCTION("""COMPUTED_VALUE"""),"FUNREBOM")</f>
        <v>FUNREBOM</v>
      </c>
      <c r="B120" s="109" t="str">
        <f>IFERROR(__xludf.DUMMYFUNCTION("""COMPUTED_VALUE"""),"TI: Locações de Softwares")</f>
        <v>TI: Locações de Softwares</v>
      </c>
      <c r="C120" s="109" t="str">
        <f>IFERROR(__xludf.DUMMYFUNCTION("""COMPUTED_VALUE"""),"4 - INVESTIMENTOS")</f>
        <v>4 - INVESTIMENTOS</v>
      </c>
      <c r="D120" s="110" t="str">
        <f>IFERROR(__xludf.DUMMYFUNCTION("""COMPUTED_VALUE"""),"DEPMAT 2026")</f>
        <v>DEPMAT 2026</v>
      </c>
      <c r="E120" s="109" t="str">
        <f>IFERROR(__xludf.DUMMYFUNCTION("""COMPUTED_VALUE"""),"RECURSOS VINCULADOS DO TESOURO")</f>
        <v>RECURSOS VINCULADOS DO TESOURO</v>
      </c>
      <c r="F120" s="109" t="str">
        <f>IFERROR(__xludf.DUMMYFUNCTION("""COMPUTED_VALUE"""),"NOVA")</f>
        <v>NOVA</v>
      </c>
      <c r="G120" s="111">
        <f>IFERROR(__xludf.DUMMYFUNCTION("""COMPUTED_VALUE"""),46266.0)</f>
        <v>46266</v>
      </c>
      <c r="H120" s="109" t="str">
        <f>IFERROR(__xludf.DUMMYFUNCTION("""COMPUTED_VALUE"""),"UN")</f>
        <v>UN</v>
      </c>
      <c r="I120" s="112">
        <f>IFERROR(__xludf.DUMMYFUNCTION("""COMPUTED_VALUE"""),1.0)</f>
        <v>1</v>
      </c>
      <c r="J120" s="110">
        <f>IFERROR(__xludf.DUMMYFUNCTION("""COMPUTED_VALUE"""),234146.56)</f>
        <v>234146.56</v>
      </c>
      <c r="K120" s="110" t="str">
        <f>IFERROR(__xludf.DUMMYFUNCTION("""COMPUTED_VALUE"""),"1º TEN QOABM BRUNO DA SILVA BOREL, NF 903246")</f>
        <v>1º TEN QOABM BRUNO DA SILVA BOREL, NF 903246</v>
      </c>
    </row>
    <row r="121" ht="43.5" customHeight="1">
      <c r="A121" s="105" t="str">
        <f>IFERROR(__xludf.DUMMYFUNCTION("""COMPUTED_VALUE"""),"FUNREBOM")</f>
        <v>FUNREBOM</v>
      </c>
      <c r="B121" s="105" t="str">
        <f>IFERROR(__xludf.DUMMYFUNCTION("""COMPUTED_VALUE"""),"TI: OUTSOURCING DE IMPRESSÃO")</f>
        <v>TI: OUTSOURCING DE IMPRESSÃO</v>
      </c>
      <c r="C121" s="105" t="str">
        <f>IFERROR(__xludf.DUMMYFUNCTION("""COMPUTED_VALUE"""),"3 - OUTRAS DESPESAS CORRENTES")</f>
        <v>3 - OUTRAS DESPESAS CORRENTES</v>
      </c>
      <c r="D121" s="106" t="str">
        <f>IFERROR(__xludf.DUMMYFUNCTION("""COMPUTED_VALUE"""),"GTI 2026")</f>
        <v>GTI 2026</v>
      </c>
      <c r="E121" s="105" t="str">
        <f>IFERROR(__xludf.DUMMYFUNCTION("""COMPUTED_VALUE"""),"RECURSOS VINCULADOS DO TESOURO")</f>
        <v>RECURSOS VINCULADOS DO TESOURO</v>
      </c>
      <c r="F121" s="105" t="str">
        <f>IFERROR(__xludf.DUMMYFUNCTION("""COMPUTED_VALUE"""),"EXISTENTE A SER RENOVADA")</f>
        <v>EXISTENTE A SER RENOVADA</v>
      </c>
      <c r="G121" s="107">
        <f>IFERROR(__xludf.DUMMYFUNCTION("""COMPUTED_VALUE"""),46266.0)</f>
        <v>46266</v>
      </c>
      <c r="H121" s="105" t="str">
        <f>IFERROR(__xludf.DUMMYFUNCTION("""COMPUTED_VALUE"""),"UN")</f>
        <v>UN</v>
      </c>
      <c r="I121" s="108">
        <f>IFERROR(__xludf.DUMMYFUNCTION("""COMPUTED_VALUE"""),1.0)</f>
        <v>1</v>
      </c>
      <c r="J121" s="106">
        <f>IFERROR(__xludf.DUMMYFUNCTION("""COMPUTED_VALUE"""),140000.0)</f>
        <v>140000</v>
      </c>
      <c r="K121" s="106" t="str">
        <f>IFERROR(__xludf.DUMMYFUNCTION("""COMPUTED_VALUE"""),"2º SGT BM THIAGO DIAS PEDRALHO, NF 2983761")</f>
        <v>2º SGT BM THIAGO DIAS PEDRALHO, NF 2983761</v>
      </c>
    </row>
    <row r="122" ht="43.5" customHeight="1">
      <c r="A122" s="109"/>
      <c r="B122" s="109"/>
      <c r="C122" s="109"/>
      <c r="D122" s="110"/>
      <c r="E122" s="109"/>
      <c r="F122" s="109"/>
      <c r="G122" s="111"/>
      <c r="H122" s="109"/>
      <c r="I122" s="112"/>
      <c r="J122" s="110"/>
      <c r="K122" s="110"/>
    </row>
    <row r="123" ht="43.5" customHeight="1">
      <c r="A123" s="105"/>
      <c r="B123" s="105"/>
      <c r="C123" s="105"/>
      <c r="D123" s="106"/>
      <c r="E123" s="105"/>
      <c r="F123" s="105"/>
      <c r="G123" s="107"/>
      <c r="H123" s="105"/>
      <c r="I123" s="108"/>
      <c r="J123" s="106"/>
      <c r="K123" s="106"/>
    </row>
    <row r="124" ht="43.5" customHeight="1">
      <c r="A124" s="109"/>
      <c r="B124" s="109"/>
      <c r="C124" s="109"/>
      <c r="D124" s="110"/>
      <c r="E124" s="109"/>
      <c r="F124" s="109"/>
      <c r="G124" s="111"/>
      <c r="H124" s="109"/>
      <c r="I124" s="112"/>
      <c r="J124" s="110"/>
      <c r="K124" s="110"/>
    </row>
    <row r="125" ht="43.5" customHeight="1">
      <c r="A125" s="105"/>
      <c r="B125" s="105"/>
      <c r="C125" s="105"/>
      <c r="D125" s="106"/>
      <c r="E125" s="105"/>
      <c r="F125" s="105"/>
      <c r="G125" s="107"/>
      <c r="H125" s="105"/>
      <c r="I125" s="108"/>
      <c r="J125" s="106"/>
      <c r="K125" s="106"/>
    </row>
    <row r="126" ht="43.5" customHeight="1">
      <c r="A126" s="109"/>
      <c r="B126" s="109"/>
      <c r="C126" s="109"/>
      <c r="D126" s="110"/>
      <c r="E126" s="109"/>
      <c r="F126" s="109"/>
      <c r="G126" s="111"/>
      <c r="H126" s="109"/>
      <c r="I126" s="112"/>
      <c r="J126" s="110"/>
      <c r="K126" s="110"/>
    </row>
    <row r="127" ht="43.5" customHeight="1">
      <c r="A127" s="105"/>
      <c r="B127" s="105"/>
      <c r="C127" s="105"/>
      <c r="D127" s="106"/>
      <c r="E127" s="105"/>
      <c r="F127" s="105"/>
      <c r="G127" s="107"/>
      <c r="H127" s="105"/>
      <c r="I127" s="108"/>
      <c r="J127" s="106"/>
      <c r="K127" s="106"/>
    </row>
    <row r="128" ht="43.5" customHeight="1">
      <c r="A128" s="109"/>
      <c r="B128" s="109"/>
      <c r="C128" s="109"/>
      <c r="D128" s="110"/>
      <c r="E128" s="109"/>
      <c r="F128" s="109"/>
      <c r="G128" s="111"/>
      <c r="H128" s="109"/>
      <c r="I128" s="112"/>
      <c r="J128" s="110"/>
      <c r="K128" s="110"/>
    </row>
    <row r="129" ht="43.5" customHeight="1">
      <c r="A129" s="105"/>
      <c r="B129" s="105"/>
      <c r="C129" s="105"/>
      <c r="D129" s="106"/>
      <c r="E129" s="105"/>
      <c r="F129" s="105"/>
      <c r="G129" s="107"/>
      <c r="H129" s="105"/>
      <c r="I129" s="108"/>
      <c r="J129" s="106"/>
      <c r="K129" s="106"/>
    </row>
    <row r="130" ht="43.5" customHeight="1">
      <c r="A130" s="109"/>
      <c r="B130" s="109"/>
      <c r="C130" s="109"/>
      <c r="D130" s="110"/>
      <c r="E130" s="109"/>
      <c r="F130" s="109"/>
      <c r="G130" s="111"/>
      <c r="H130" s="109"/>
      <c r="I130" s="112"/>
      <c r="J130" s="110"/>
      <c r="K130" s="110"/>
    </row>
    <row r="131" ht="43.5" customHeight="1">
      <c r="A131" s="105"/>
      <c r="B131" s="105"/>
      <c r="C131" s="105"/>
      <c r="D131" s="106"/>
      <c r="E131" s="105"/>
      <c r="F131" s="105"/>
      <c r="G131" s="107"/>
      <c r="H131" s="105"/>
      <c r="I131" s="108"/>
      <c r="J131" s="106"/>
      <c r="K131" s="106"/>
    </row>
    <row r="132" ht="43.5" customHeight="1">
      <c r="A132" s="109"/>
      <c r="B132" s="109"/>
      <c r="C132" s="109"/>
      <c r="D132" s="110"/>
      <c r="E132" s="109"/>
      <c r="F132" s="109"/>
      <c r="G132" s="111"/>
      <c r="H132" s="109"/>
      <c r="I132" s="112"/>
      <c r="J132" s="110"/>
      <c r="K132" s="110"/>
    </row>
    <row r="133" ht="43.5" customHeight="1">
      <c r="A133" s="105"/>
      <c r="B133" s="105"/>
      <c r="C133" s="105"/>
      <c r="D133" s="106"/>
      <c r="E133" s="105"/>
      <c r="F133" s="105"/>
      <c r="G133" s="107"/>
      <c r="H133" s="105"/>
      <c r="I133" s="108"/>
      <c r="J133" s="106"/>
      <c r="K133" s="106"/>
    </row>
    <row r="134" ht="43.5" customHeight="1">
      <c r="A134" s="109"/>
      <c r="B134" s="109"/>
      <c r="C134" s="109"/>
      <c r="D134" s="110"/>
      <c r="E134" s="109"/>
      <c r="F134" s="109"/>
      <c r="G134" s="111"/>
      <c r="H134" s="109"/>
      <c r="I134" s="112"/>
      <c r="J134" s="110"/>
      <c r="K134" s="110"/>
    </row>
    <row r="135" ht="43.5" customHeight="1">
      <c r="A135" s="105"/>
      <c r="B135" s="105"/>
      <c r="C135" s="105"/>
      <c r="D135" s="106"/>
      <c r="E135" s="105"/>
      <c r="F135" s="105"/>
      <c r="G135" s="107"/>
      <c r="H135" s="105"/>
      <c r="I135" s="108"/>
      <c r="J135" s="106"/>
      <c r="K135" s="106"/>
    </row>
    <row r="136" ht="43.5" customHeight="1">
      <c r="A136" s="109"/>
      <c r="B136" s="109"/>
      <c r="C136" s="109"/>
      <c r="D136" s="110"/>
      <c r="E136" s="109"/>
      <c r="F136" s="109"/>
      <c r="G136" s="111"/>
      <c r="H136" s="109"/>
      <c r="I136" s="112"/>
      <c r="J136" s="110"/>
      <c r="K136" s="110"/>
    </row>
    <row r="137" ht="43.5" customHeight="1">
      <c r="A137" s="105"/>
      <c r="B137" s="105"/>
      <c r="C137" s="105"/>
      <c r="D137" s="106"/>
      <c r="E137" s="105"/>
      <c r="F137" s="105"/>
      <c r="G137" s="107"/>
      <c r="H137" s="105"/>
      <c r="I137" s="108"/>
      <c r="J137" s="106"/>
      <c r="K137" s="106"/>
    </row>
    <row r="138" ht="43.5" customHeight="1">
      <c r="A138" s="109"/>
      <c r="B138" s="109"/>
      <c r="C138" s="109"/>
      <c r="D138" s="110"/>
      <c r="E138" s="109"/>
      <c r="F138" s="109"/>
      <c r="G138" s="111"/>
      <c r="H138" s="109"/>
      <c r="I138" s="112"/>
      <c r="J138" s="110"/>
      <c r="K138" s="110"/>
    </row>
    <row r="139" ht="43.5" customHeight="1">
      <c r="A139" s="105"/>
      <c r="B139" s="105"/>
      <c r="C139" s="105"/>
      <c r="D139" s="106"/>
      <c r="E139" s="105"/>
      <c r="F139" s="105"/>
      <c r="G139" s="107"/>
      <c r="H139" s="105"/>
      <c r="I139" s="108"/>
      <c r="J139" s="106"/>
      <c r="K139" s="106"/>
    </row>
    <row r="140" ht="43.5" customHeight="1">
      <c r="A140" s="109"/>
      <c r="B140" s="109"/>
      <c r="C140" s="109"/>
      <c r="D140" s="110"/>
      <c r="E140" s="109"/>
      <c r="F140" s="109"/>
      <c r="G140" s="111"/>
      <c r="H140" s="109"/>
      <c r="I140" s="112"/>
      <c r="J140" s="110"/>
      <c r="K140" s="110"/>
    </row>
    <row r="141" ht="43.5" customHeight="1">
      <c r="A141" s="105"/>
      <c r="B141" s="105"/>
      <c r="C141" s="105"/>
      <c r="D141" s="106"/>
      <c r="E141" s="105"/>
      <c r="F141" s="105"/>
      <c r="G141" s="107"/>
      <c r="H141" s="105"/>
      <c r="I141" s="108"/>
      <c r="J141" s="106"/>
      <c r="K141" s="106"/>
    </row>
    <row r="142" ht="43.5" customHeight="1">
      <c r="A142" s="109"/>
      <c r="B142" s="109"/>
      <c r="C142" s="109"/>
      <c r="D142" s="110"/>
      <c r="E142" s="109"/>
      <c r="F142" s="109"/>
      <c r="G142" s="111"/>
      <c r="H142" s="109"/>
      <c r="I142" s="112"/>
      <c r="J142" s="110"/>
      <c r="K142" s="110"/>
    </row>
    <row r="143" ht="43.5" customHeight="1">
      <c r="A143" s="105"/>
      <c r="B143" s="105"/>
      <c r="C143" s="105"/>
      <c r="D143" s="106"/>
      <c r="E143" s="105"/>
      <c r="F143" s="105"/>
      <c r="G143" s="107"/>
      <c r="H143" s="105"/>
      <c r="I143" s="108"/>
      <c r="J143" s="106"/>
      <c r="K143" s="106"/>
    </row>
    <row r="144" ht="43.5" customHeight="1">
      <c r="A144" s="109"/>
      <c r="B144" s="109"/>
      <c r="C144" s="109"/>
      <c r="D144" s="110"/>
      <c r="E144" s="109"/>
      <c r="F144" s="109"/>
      <c r="G144" s="111"/>
      <c r="H144" s="109"/>
      <c r="I144" s="112"/>
      <c r="J144" s="110"/>
      <c r="K144" s="110"/>
    </row>
    <row r="145" ht="43.5" customHeight="1">
      <c r="A145" s="105"/>
      <c r="B145" s="105"/>
      <c r="C145" s="105"/>
      <c r="D145" s="106"/>
      <c r="E145" s="105"/>
      <c r="F145" s="105"/>
      <c r="G145" s="107"/>
      <c r="H145" s="105"/>
      <c r="I145" s="108"/>
      <c r="J145" s="106"/>
      <c r="K145" s="106"/>
    </row>
    <row r="146" ht="43.5" customHeight="1">
      <c r="A146" s="109"/>
      <c r="B146" s="109"/>
      <c r="C146" s="109"/>
      <c r="D146" s="110"/>
      <c r="E146" s="109"/>
      <c r="F146" s="109"/>
      <c r="G146" s="111"/>
      <c r="H146" s="109"/>
      <c r="I146" s="112"/>
      <c r="J146" s="110"/>
      <c r="K146" s="110"/>
    </row>
    <row r="147" ht="43.5" customHeight="1">
      <c r="A147" s="105"/>
      <c r="B147" s="105"/>
      <c r="C147" s="105"/>
      <c r="D147" s="106"/>
      <c r="E147" s="105"/>
      <c r="F147" s="105"/>
      <c r="G147" s="107"/>
      <c r="H147" s="105"/>
      <c r="I147" s="108"/>
      <c r="J147" s="106"/>
      <c r="K147" s="106"/>
    </row>
    <row r="148" ht="43.5" customHeight="1">
      <c r="A148" s="109"/>
      <c r="B148" s="109"/>
      <c r="C148" s="109"/>
      <c r="D148" s="110"/>
      <c r="E148" s="109"/>
      <c r="F148" s="109"/>
      <c r="G148" s="111"/>
      <c r="H148" s="109"/>
      <c r="I148" s="112"/>
      <c r="J148" s="110"/>
      <c r="K148" s="110"/>
    </row>
    <row r="149" ht="43.5" customHeight="1">
      <c r="A149" s="105"/>
      <c r="B149" s="105"/>
      <c r="C149" s="105"/>
      <c r="D149" s="106"/>
      <c r="E149" s="105"/>
      <c r="F149" s="105"/>
      <c r="G149" s="107"/>
      <c r="H149" s="105"/>
      <c r="I149" s="108"/>
      <c r="J149" s="106"/>
      <c r="K149" s="106"/>
    </row>
    <row r="150" ht="43.5" customHeight="1">
      <c r="A150" s="109"/>
      <c r="B150" s="109"/>
      <c r="C150" s="109"/>
      <c r="D150" s="110"/>
      <c r="E150" s="109"/>
      <c r="F150" s="109"/>
      <c r="G150" s="111"/>
      <c r="H150" s="109"/>
      <c r="I150" s="112"/>
      <c r="J150" s="110"/>
      <c r="K150" s="110"/>
    </row>
    <row r="151" ht="43.5" customHeight="1">
      <c r="A151" s="105"/>
      <c r="B151" s="105"/>
      <c r="C151" s="105"/>
      <c r="D151" s="106"/>
      <c r="E151" s="105"/>
      <c r="F151" s="105"/>
      <c r="G151" s="107"/>
      <c r="H151" s="105"/>
      <c r="I151" s="108"/>
      <c r="J151" s="106"/>
      <c r="K151" s="106"/>
    </row>
    <row r="152" ht="43.5" customHeight="1">
      <c r="A152" s="109"/>
      <c r="B152" s="109"/>
      <c r="C152" s="109"/>
      <c r="D152" s="110"/>
      <c r="E152" s="109"/>
      <c r="F152" s="109"/>
      <c r="G152" s="111"/>
      <c r="H152" s="109"/>
      <c r="I152" s="112"/>
      <c r="J152" s="110"/>
      <c r="K152" s="110"/>
    </row>
    <row r="153" ht="43.5" customHeight="1">
      <c r="A153" s="105"/>
      <c r="B153" s="105"/>
      <c r="C153" s="105"/>
      <c r="D153" s="106"/>
      <c r="E153" s="105"/>
      <c r="F153" s="105"/>
      <c r="G153" s="107"/>
      <c r="H153" s="105"/>
      <c r="I153" s="108"/>
      <c r="J153" s="106"/>
      <c r="K153" s="106"/>
    </row>
    <row r="154" ht="43.5" customHeight="1">
      <c r="A154" s="109"/>
      <c r="B154" s="109"/>
      <c r="C154" s="109"/>
      <c r="D154" s="110"/>
      <c r="E154" s="109"/>
      <c r="F154" s="109"/>
      <c r="G154" s="111"/>
      <c r="H154" s="109"/>
      <c r="I154" s="112"/>
      <c r="J154" s="110"/>
      <c r="K154" s="110"/>
    </row>
    <row r="155" ht="43.5" customHeight="1">
      <c r="A155" s="105"/>
      <c r="B155" s="105"/>
      <c r="C155" s="105"/>
      <c r="D155" s="106"/>
      <c r="E155" s="105"/>
      <c r="F155" s="105"/>
      <c r="G155" s="107"/>
      <c r="H155" s="105"/>
      <c r="I155" s="108"/>
      <c r="J155" s="106"/>
      <c r="K155" s="106"/>
    </row>
    <row r="156" ht="43.5" customHeight="1">
      <c r="A156" s="109"/>
      <c r="B156" s="109"/>
      <c r="C156" s="109"/>
      <c r="D156" s="110"/>
      <c r="E156" s="109"/>
      <c r="F156" s="109"/>
      <c r="G156" s="111"/>
      <c r="H156" s="109"/>
      <c r="I156" s="112"/>
      <c r="J156" s="110"/>
      <c r="K156" s="110"/>
    </row>
    <row r="157" ht="43.5" customHeight="1">
      <c r="A157" s="105"/>
      <c r="B157" s="105"/>
      <c r="C157" s="105"/>
      <c r="D157" s="106"/>
      <c r="E157" s="105"/>
      <c r="F157" s="105"/>
      <c r="G157" s="107"/>
      <c r="H157" s="105"/>
      <c r="I157" s="108"/>
      <c r="J157" s="106"/>
      <c r="K157" s="106"/>
    </row>
    <row r="158" ht="43.5" customHeight="1">
      <c r="A158" s="109"/>
      <c r="B158" s="109"/>
      <c r="C158" s="109"/>
      <c r="D158" s="110"/>
      <c r="E158" s="109"/>
      <c r="F158" s="109"/>
      <c r="G158" s="111"/>
      <c r="H158" s="109"/>
      <c r="I158" s="112"/>
      <c r="J158" s="110"/>
      <c r="K158" s="110"/>
    </row>
    <row r="159" ht="43.5" customHeight="1">
      <c r="A159" s="105"/>
      <c r="B159" s="105"/>
      <c r="C159" s="105"/>
      <c r="D159" s="106"/>
      <c r="E159" s="105"/>
      <c r="F159" s="105"/>
      <c r="G159" s="107"/>
      <c r="H159" s="105"/>
      <c r="I159" s="108"/>
      <c r="J159" s="106"/>
      <c r="K159" s="106"/>
    </row>
    <row r="160" ht="43.5" customHeight="1">
      <c r="A160" s="109"/>
      <c r="B160" s="109"/>
      <c r="C160" s="109"/>
      <c r="D160" s="110"/>
      <c r="E160" s="109"/>
      <c r="F160" s="109"/>
      <c r="G160" s="111"/>
      <c r="H160" s="109"/>
      <c r="I160" s="112"/>
      <c r="J160" s="110"/>
      <c r="K160" s="110"/>
    </row>
    <row r="161" ht="43.5" customHeight="1">
      <c r="A161" s="105"/>
      <c r="B161" s="105"/>
      <c r="C161" s="105"/>
      <c r="D161" s="106"/>
      <c r="E161" s="105"/>
      <c r="F161" s="105"/>
      <c r="G161" s="107"/>
      <c r="H161" s="105"/>
      <c r="I161" s="108"/>
      <c r="J161" s="106"/>
      <c r="K161" s="106"/>
    </row>
    <row r="162" ht="43.5" customHeight="1">
      <c r="A162" s="109"/>
      <c r="B162" s="109"/>
      <c r="C162" s="109"/>
      <c r="D162" s="110"/>
      <c r="E162" s="109"/>
      <c r="F162" s="109"/>
      <c r="G162" s="111"/>
      <c r="H162" s="109"/>
      <c r="I162" s="112"/>
      <c r="J162" s="110"/>
      <c r="K162" s="110"/>
    </row>
    <row r="163" ht="43.5" customHeight="1">
      <c r="A163" s="105"/>
      <c r="B163" s="105"/>
      <c r="C163" s="105"/>
      <c r="D163" s="106"/>
      <c r="E163" s="105"/>
      <c r="F163" s="105"/>
      <c r="G163" s="107"/>
      <c r="H163" s="105"/>
      <c r="I163" s="108"/>
      <c r="J163" s="106"/>
      <c r="K163" s="106"/>
    </row>
    <row r="164" ht="43.5" customHeight="1">
      <c r="A164" s="109"/>
      <c r="B164" s="109"/>
      <c r="C164" s="109"/>
      <c r="D164" s="110"/>
      <c r="E164" s="109"/>
      <c r="F164" s="109"/>
      <c r="G164" s="111"/>
      <c r="H164" s="109"/>
      <c r="I164" s="112"/>
      <c r="J164" s="110"/>
      <c r="K164" s="110"/>
    </row>
    <row r="165" ht="43.5" customHeight="1">
      <c r="A165" s="105"/>
      <c r="B165" s="105"/>
      <c r="C165" s="105"/>
      <c r="D165" s="106"/>
      <c r="E165" s="105"/>
      <c r="F165" s="105"/>
      <c r="G165" s="107"/>
      <c r="H165" s="105"/>
      <c r="I165" s="108"/>
      <c r="J165" s="106"/>
      <c r="K165" s="106"/>
    </row>
    <row r="166" ht="43.5" customHeight="1">
      <c r="A166" s="109"/>
      <c r="B166" s="109"/>
      <c r="C166" s="109"/>
      <c r="D166" s="110"/>
      <c r="E166" s="109"/>
      <c r="F166" s="109"/>
      <c r="G166" s="111"/>
      <c r="H166" s="109"/>
      <c r="I166" s="112"/>
      <c r="J166" s="110"/>
      <c r="K166" s="110"/>
    </row>
    <row r="167" ht="43.5" customHeight="1">
      <c r="A167" s="105"/>
      <c r="B167" s="105"/>
      <c r="C167" s="105"/>
      <c r="D167" s="106"/>
      <c r="E167" s="105"/>
      <c r="F167" s="105"/>
      <c r="G167" s="107"/>
      <c r="H167" s="105"/>
      <c r="I167" s="108"/>
      <c r="J167" s="106"/>
      <c r="K167" s="106"/>
    </row>
    <row r="168" ht="43.5" customHeight="1">
      <c r="A168" s="109"/>
      <c r="B168" s="109"/>
      <c r="C168" s="109"/>
      <c r="D168" s="110"/>
      <c r="E168" s="109"/>
      <c r="F168" s="109"/>
      <c r="G168" s="111"/>
      <c r="H168" s="109"/>
      <c r="I168" s="112"/>
      <c r="J168" s="110"/>
      <c r="K168" s="110"/>
    </row>
    <row r="169" ht="43.5" customHeight="1">
      <c r="A169" s="105"/>
      <c r="B169" s="105"/>
      <c r="C169" s="105"/>
      <c r="D169" s="106"/>
      <c r="E169" s="105"/>
      <c r="F169" s="105"/>
      <c r="G169" s="107"/>
      <c r="H169" s="105"/>
      <c r="I169" s="108"/>
      <c r="J169" s="106"/>
      <c r="K169" s="106"/>
    </row>
    <row r="170" ht="43.5" customHeight="1">
      <c r="A170" s="109"/>
      <c r="B170" s="109"/>
      <c r="C170" s="109"/>
      <c r="D170" s="110"/>
      <c r="E170" s="109"/>
      <c r="F170" s="109"/>
      <c r="G170" s="111"/>
      <c r="H170" s="109"/>
      <c r="I170" s="112"/>
      <c r="J170" s="110"/>
      <c r="K170" s="110"/>
    </row>
    <row r="171" ht="43.5" customHeight="1">
      <c r="A171" s="105"/>
      <c r="B171" s="105"/>
      <c r="C171" s="105"/>
      <c r="D171" s="106"/>
      <c r="E171" s="105"/>
      <c r="F171" s="105"/>
      <c r="G171" s="107"/>
      <c r="H171" s="105"/>
      <c r="I171" s="108"/>
      <c r="J171" s="106"/>
      <c r="K171" s="106"/>
    </row>
    <row r="172" ht="43.5" customHeight="1">
      <c r="A172" s="109"/>
      <c r="B172" s="109"/>
      <c r="C172" s="109"/>
      <c r="D172" s="110"/>
      <c r="E172" s="109"/>
      <c r="F172" s="109"/>
      <c r="G172" s="111"/>
      <c r="H172" s="109"/>
      <c r="I172" s="112"/>
      <c r="J172" s="110"/>
      <c r="K172" s="110"/>
    </row>
    <row r="173" ht="43.5" customHeight="1">
      <c r="A173" s="105"/>
      <c r="B173" s="105"/>
      <c r="C173" s="105"/>
      <c r="D173" s="106"/>
      <c r="E173" s="105"/>
      <c r="F173" s="105"/>
      <c r="G173" s="107"/>
      <c r="H173" s="105"/>
      <c r="I173" s="108"/>
      <c r="J173" s="106"/>
      <c r="K173" s="106"/>
    </row>
    <row r="174" ht="43.5" customHeight="1">
      <c r="A174" s="109"/>
      <c r="B174" s="109"/>
      <c r="C174" s="109"/>
      <c r="D174" s="110"/>
      <c r="E174" s="109"/>
      <c r="F174" s="109"/>
      <c r="G174" s="111"/>
      <c r="H174" s="109"/>
      <c r="I174" s="112"/>
      <c r="J174" s="110"/>
      <c r="K174" s="110"/>
    </row>
    <row r="175" ht="43.5" customHeight="1">
      <c r="A175" s="105"/>
      <c r="B175" s="105"/>
      <c r="C175" s="105"/>
      <c r="D175" s="106"/>
      <c r="E175" s="105"/>
      <c r="F175" s="105"/>
      <c r="G175" s="107"/>
      <c r="H175" s="105"/>
      <c r="I175" s="108"/>
      <c r="J175" s="106"/>
      <c r="K175" s="106"/>
    </row>
    <row r="176" ht="43.5" customHeight="1">
      <c r="A176" s="109"/>
      <c r="B176" s="109"/>
      <c r="C176" s="109"/>
      <c r="D176" s="110"/>
      <c r="E176" s="109"/>
      <c r="F176" s="109"/>
      <c r="G176" s="111"/>
      <c r="H176" s="109"/>
      <c r="I176" s="112"/>
      <c r="J176" s="110"/>
      <c r="K176" s="110"/>
    </row>
    <row r="177" ht="43.5" customHeight="1">
      <c r="A177" s="105"/>
      <c r="B177" s="105"/>
      <c r="C177" s="105"/>
      <c r="D177" s="106"/>
      <c r="E177" s="105"/>
      <c r="F177" s="105"/>
      <c r="G177" s="107"/>
      <c r="H177" s="105"/>
      <c r="I177" s="108"/>
      <c r="J177" s="106"/>
      <c r="K177" s="106"/>
    </row>
    <row r="178" ht="43.5" customHeight="1">
      <c r="A178" s="109"/>
      <c r="B178" s="109"/>
      <c r="C178" s="109"/>
      <c r="D178" s="110"/>
      <c r="E178" s="109"/>
      <c r="F178" s="109"/>
      <c r="G178" s="111"/>
      <c r="H178" s="109"/>
      <c r="I178" s="112"/>
      <c r="J178" s="110"/>
      <c r="K178" s="110"/>
    </row>
    <row r="179" ht="43.5" customHeight="1">
      <c r="A179" s="105"/>
      <c r="B179" s="105"/>
      <c r="C179" s="105"/>
      <c r="D179" s="106"/>
      <c r="E179" s="105"/>
      <c r="F179" s="105"/>
      <c r="G179" s="107"/>
      <c r="H179" s="105"/>
      <c r="I179" s="108"/>
      <c r="J179" s="106"/>
      <c r="K179" s="106"/>
    </row>
    <row r="180" ht="43.5" customHeight="1">
      <c r="A180" s="109"/>
      <c r="B180" s="109"/>
      <c r="C180" s="109"/>
      <c r="D180" s="110"/>
      <c r="E180" s="109"/>
      <c r="F180" s="109"/>
      <c r="G180" s="111"/>
      <c r="H180" s="109"/>
      <c r="I180" s="112"/>
      <c r="J180" s="110"/>
      <c r="K180" s="110"/>
    </row>
    <row r="181" ht="43.5" customHeight="1">
      <c r="A181" s="105"/>
      <c r="B181" s="105"/>
      <c r="C181" s="105"/>
      <c r="D181" s="106"/>
      <c r="E181" s="105"/>
      <c r="F181" s="105"/>
      <c r="G181" s="107"/>
      <c r="H181" s="105"/>
      <c r="I181" s="108"/>
      <c r="J181" s="106"/>
      <c r="K181" s="106"/>
    </row>
    <row r="182" ht="43.5" customHeight="1">
      <c r="A182" s="109"/>
      <c r="B182" s="109"/>
      <c r="C182" s="109"/>
      <c r="D182" s="110"/>
      <c r="E182" s="109"/>
      <c r="F182" s="109"/>
      <c r="G182" s="111"/>
      <c r="H182" s="109"/>
      <c r="I182" s="112"/>
      <c r="J182" s="110"/>
      <c r="K182" s="110"/>
    </row>
    <row r="183" ht="43.5" customHeight="1">
      <c r="A183" s="105"/>
      <c r="B183" s="105"/>
      <c r="C183" s="105"/>
      <c r="D183" s="106"/>
      <c r="E183" s="105"/>
      <c r="F183" s="105"/>
      <c r="G183" s="107"/>
      <c r="H183" s="105"/>
      <c r="I183" s="108"/>
      <c r="J183" s="106"/>
      <c r="K183" s="106"/>
    </row>
    <row r="184" ht="43.5" customHeight="1">
      <c r="A184" s="109"/>
      <c r="B184" s="109"/>
      <c r="C184" s="109"/>
      <c r="D184" s="110"/>
      <c r="E184" s="109"/>
      <c r="F184" s="109"/>
      <c r="G184" s="111"/>
      <c r="H184" s="109"/>
      <c r="I184" s="112"/>
      <c r="J184" s="110"/>
      <c r="K184" s="110"/>
    </row>
    <row r="185" ht="43.5" customHeight="1">
      <c r="A185" s="105"/>
      <c r="B185" s="105"/>
      <c r="C185" s="105"/>
      <c r="D185" s="106"/>
      <c r="E185" s="105"/>
      <c r="F185" s="105"/>
      <c r="G185" s="107"/>
      <c r="H185" s="105"/>
      <c r="I185" s="108"/>
      <c r="J185" s="106"/>
      <c r="K185" s="106"/>
    </row>
    <row r="186" ht="43.5" customHeight="1">
      <c r="A186" s="109"/>
      <c r="B186" s="109"/>
      <c r="C186" s="109"/>
      <c r="D186" s="110"/>
      <c r="E186" s="109"/>
      <c r="F186" s="109"/>
      <c r="G186" s="111"/>
      <c r="H186" s="109"/>
      <c r="I186" s="112"/>
      <c r="J186" s="110"/>
      <c r="K186" s="110"/>
    </row>
    <row r="187" ht="43.5" customHeight="1">
      <c r="A187" s="105"/>
      <c r="B187" s="105"/>
      <c r="C187" s="105"/>
      <c r="D187" s="106"/>
      <c r="E187" s="105"/>
      <c r="F187" s="105"/>
      <c r="G187" s="107"/>
      <c r="H187" s="105"/>
      <c r="I187" s="108"/>
      <c r="J187" s="106"/>
      <c r="K187" s="106"/>
    </row>
    <row r="188" ht="43.5" customHeight="1">
      <c r="A188" s="109"/>
      <c r="B188" s="109"/>
      <c r="C188" s="109"/>
      <c r="D188" s="110"/>
      <c r="E188" s="109"/>
      <c r="F188" s="109"/>
      <c r="G188" s="111"/>
      <c r="H188" s="109"/>
      <c r="I188" s="112"/>
      <c r="J188" s="110"/>
      <c r="K188" s="110"/>
    </row>
    <row r="189" ht="43.5" customHeight="1">
      <c r="A189" s="105"/>
      <c r="B189" s="105"/>
      <c r="C189" s="105"/>
      <c r="D189" s="106"/>
      <c r="E189" s="105"/>
      <c r="F189" s="105"/>
      <c r="G189" s="107"/>
      <c r="H189" s="105"/>
      <c r="I189" s="108"/>
      <c r="J189" s="106"/>
      <c r="K189" s="106"/>
    </row>
    <row r="190" ht="43.5" customHeight="1">
      <c r="A190" s="109"/>
      <c r="B190" s="109"/>
      <c r="C190" s="109"/>
      <c r="D190" s="110"/>
      <c r="E190" s="109"/>
      <c r="F190" s="109"/>
      <c r="G190" s="111"/>
      <c r="H190" s="109"/>
      <c r="I190" s="112"/>
      <c r="J190" s="110"/>
      <c r="K190" s="110"/>
    </row>
    <row r="191" ht="43.5" customHeight="1">
      <c r="A191" s="105"/>
      <c r="B191" s="105"/>
      <c r="C191" s="105"/>
      <c r="D191" s="106"/>
      <c r="E191" s="105"/>
      <c r="F191" s="105"/>
      <c r="G191" s="107"/>
      <c r="H191" s="105"/>
      <c r="I191" s="108"/>
      <c r="J191" s="106"/>
      <c r="K191" s="106"/>
    </row>
    <row r="192" ht="43.5" customHeight="1">
      <c r="A192" s="109"/>
      <c r="B192" s="109"/>
      <c r="C192" s="109"/>
      <c r="D192" s="110"/>
      <c r="E192" s="109"/>
      <c r="F192" s="109"/>
      <c r="G192" s="111"/>
      <c r="H192" s="109"/>
      <c r="I192" s="112"/>
      <c r="J192" s="110"/>
      <c r="K192" s="110"/>
    </row>
    <row r="193" ht="43.5" customHeight="1">
      <c r="A193" s="105"/>
      <c r="B193" s="105"/>
      <c r="C193" s="105"/>
      <c r="D193" s="106"/>
      <c r="E193" s="105"/>
      <c r="F193" s="105"/>
      <c r="G193" s="107"/>
      <c r="H193" s="105"/>
      <c r="I193" s="108"/>
      <c r="J193" s="106"/>
      <c r="K193" s="106"/>
    </row>
    <row r="194" ht="43.5" customHeight="1">
      <c r="A194" s="109"/>
      <c r="B194" s="109"/>
      <c r="C194" s="109"/>
      <c r="D194" s="110"/>
      <c r="E194" s="109"/>
      <c r="F194" s="109"/>
      <c r="G194" s="111"/>
      <c r="H194" s="109"/>
      <c r="I194" s="112"/>
      <c r="J194" s="110"/>
      <c r="K194" s="110"/>
    </row>
    <row r="195" ht="43.5" customHeight="1">
      <c r="A195" s="105"/>
      <c r="B195" s="105"/>
      <c r="C195" s="105"/>
      <c r="D195" s="106"/>
      <c r="E195" s="105"/>
      <c r="F195" s="105"/>
      <c r="G195" s="107"/>
      <c r="H195" s="105"/>
      <c r="I195" s="108"/>
      <c r="J195" s="106"/>
      <c r="K195" s="106"/>
    </row>
    <row r="196" ht="43.5" customHeight="1">
      <c r="A196" s="109"/>
      <c r="B196" s="109"/>
      <c r="C196" s="109"/>
      <c r="D196" s="110"/>
      <c r="E196" s="109"/>
      <c r="F196" s="109"/>
      <c r="G196" s="111"/>
      <c r="H196" s="109"/>
      <c r="I196" s="112"/>
      <c r="J196" s="110"/>
      <c r="K196" s="110"/>
    </row>
    <row r="197" ht="43.5" customHeight="1">
      <c r="A197" s="105"/>
      <c r="B197" s="105"/>
      <c r="C197" s="105"/>
      <c r="D197" s="106"/>
      <c r="E197" s="105"/>
      <c r="F197" s="105"/>
      <c r="G197" s="107"/>
      <c r="H197" s="105"/>
      <c r="I197" s="108"/>
      <c r="J197" s="106"/>
      <c r="K197" s="106"/>
    </row>
    <row r="198" ht="43.5" customHeight="1">
      <c r="A198" s="109"/>
      <c r="B198" s="109"/>
      <c r="C198" s="109"/>
      <c r="D198" s="110"/>
      <c r="E198" s="109"/>
      <c r="F198" s="109"/>
      <c r="G198" s="111"/>
      <c r="H198" s="109"/>
      <c r="I198" s="112"/>
      <c r="J198" s="110"/>
      <c r="K198" s="110"/>
    </row>
    <row r="199" ht="43.5" customHeight="1">
      <c r="A199" s="105"/>
      <c r="B199" s="105"/>
      <c r="C199" s="105"/>
      <c r="D199" s="106"/>
      <c r="E199" s="105"/>
      <c r="F199" s="105"/>
      <c r="G199" s="107"/>
      <c r="H199" s="105"/>
      <c r="I199" s="108"/>
      <c r="J199" s="106"/>
      <c r="K199" s="106"/>
    </row>
    <row r="200" ht="43.5" customHeight="1">
      <c r="A200" s="109"/>
      <c r="B200" s="109"/>
      <c r="C200" s="109"/>
      <c r="D200" s="110"/>
      <c r="E200" s="109"/>
      <c r="F200" s="109"/>
      <c r="G200" s="111"/>
      <c r="H200" s="109"/>
      <c r="I200" s="112"/>
      <c r="J200" s="110"/>
      <c r="K200" s="110"/>
    </row>
    <row r="201" ht="43.5" customHeight="1">
      <c r="A201" s="105"/>
      <c r="B201" s="105"/>
      <c r="C201" s="105"/>
      <c r="D201" s="106"/>
      <c r="E201" s="105"/>
      <c r="F201" s="105"/>
      <c r="G201" s="107"/>
      <c r="H201" s="105"/>
      <c r="I201" s="108"/>
      <c r="J201" s="106"/>
      <c r="K201" s="106"/>
    </row>
    <row r="202" ht="43.5" customHeight="1">
      <c r="A202" s="109"/>
      <c r="B202" s="109"/>
      <c r="C202" s="109"/>
      <c r="D202" s="110"/>
      <c r="E202" s="109"/>
      <c r="F202" s="109"/>
      <c r="G202" s="111"/>
      <c r="H202" s="109"/>
      <c r="I202" s="112"/>
      <c r="J202" s="110"/>
      <c r="K202" s="110"/>
    </row>
    <row r="203" ht="43.5" customHeight="1">
      <c r="A203" s="105"/>
      <c r="B203" s="105"/>
      <c r="C203" s="105"/>
      <c r="D203" s="106"/>
      <c r="E203" s="105"/>
      <c r="F203" s="105"/>
      <c r="G203" s="107"/>
      <c r="H203" s="105"/>
      <c r="I203" s="108"/>
      <c r="J203" s="106"/>
      <c r="K203" s="106"/>
    </row>
    <row r="204" ht="43.5" customHeight="1">
      <c r="A204" s="109"/>
      <c r="B204" s="109"/>
      <c r="C204" s="109"/>
      <c r="D204" s="110"/>
      <c r="E204" s="109"/>
      <c r="F204" s="109"/>
      <c r="G204" s="111"/>
      <c r="H204" s="109"/>
      <c r="I204" s="112"/>
      <c r="J204" s="110"/>
      <c r="K204" s="110"/>
    </row>
    <row r="205" ht="43.5" customHeight="1">
      <c r="A205" s="105"/>
      <c r="B205" s="105"/>
      <c r="C205" s="105"/>
      <c r="D205" s="106"/>
      <c r="E205" s="105"/>
      <c r="F205" s="105"/>
      <c r="G205" s="107"/>
      <c r="H205" s="105"/>
      <c r="I205" s="108"/>
      <c r="J205" s="106"/>
      <c r="K205" s="106"/>
    </row>
    <row r="206" ht="43.5" customHeight="1">
      <c r="A206" s="109"/>
      <c r="B206" s="109"/>
      <c r="C206" s="109"/>
      <c r="D206" s="110"/>
      <c r="E206" s="109"/>
      <c r="F206" s="109"/>
      <c r="G206" s="111"/>
      <c r="H206" s="109"/>
      <c r="I206" s="112"/>
      <c r="J206" s="110"/>
      <c r="K206" s="110"/>
    </row>
    <row r="207" ht="43.5" customHeight="1">
      <c r="A207" s="105"/>
      <c r="B207" s="105"/>
      <c r="C207" s="105"/>
      <c r="D207" s="106"/>
      <c r="E207" s="105"/>
      <c r="F207" s="105"/>
      <c r="G207" s="107"/>
      <c r="H207" s="105"/>
      <c r="I207" s="108"/>
      <c r="J207" s="106"/>
      <c r="K207" s="106"/>
    </row>
    <row r="208" ht="43.5" customHeight="1">
      <c r="A208" s="109"/>
      <c r="B208" s="109"/>
      <c r="C208" s="109"/>
      <c r="D208" s="110"/>
      <c r="E208" s="109"/>
      <c r="F208" s="109"/>
      <c r="G208" s="111"/>
      <c r="H208" s="109"/>
      <c r="I208" s="112"/>
      <c r="J208" s="110"/>
      <c r="K208" s="110"/>
    </row>
    <row r="209" ht="43.5" customHeight="1">
      <c r="A209" s="105"/>
      <c r="B209" s="105"/>
      <c r="C209" s="105"/>
      <c r="D209" s="106"/>
      <c r="E209" s="105"/>
      <c r="F209" s="105"/>
      <c r="G209" s="107"/>
      <c r="H209" s="105"/>
      <c r="I209" s="108"/>
      <c r="J209" s="106"/>
      <c r="K209" s="106"/>
    </row>
    <row r="210" ht="43.5" customHeight="1">
      <c r="A210" s="109"/>
      <c r="B210" s="109"/>
      <c r="C210" s="109"/>
      <c r="D210" s="110"/>
      <c r="E210" s="109"/>
      <c r="F210" s="109"/>
      <c r="G210" s="111"/>
      <c r="H210" s="109"/>
      <c r="I210" s="112"/>
      <c r="J210" s="110"/>
      <c r="K210" s="110"/>
    </row>
    <row r="211" ht="43.5" customHeight="1">
      <c r="A211" s="105"/>
      <c r="B211" s="105"/>
      <c r="C211" s="105"/>
      <c r="D211" s="106"/>
      <c r="E211" s="105"/>
      <c r="F211" s="105"/>
      <c r="G211" s="107"/>
      <c r="H211" s="105"/>
      <c r="I211" s="108"/>
      <c r="J211" s="106"/>
      <c r="K211" s="106"/>
    </row>
    <row r="212" ht="43.5" customHeight="1">
      <c r="A212" s="109"/>
      <c r="B212" s="109"/>
      <c r="C212" s="109"/>
      <c r="D212" s="110"/>
      <c r="E212" s="109"/>
      <c r="F212" s="109"/>
      <c r="G212" s="111"/>
      <c r="H212" s="109"/>
      <c r="I212" s="112"/>
      <c r="J212" s="110"/>
      <c r="K212" s="110"/>
    </row>
    <row r="213" ht="43.5" customHeight="1">
      <c r="A213" s="105"/>
      <c r="B213" s="105"/>
      <c r="C213" s="105"/>
      <c r="D213" s="106"/>
      <c r="E213" s="105"/>
      <c r="F213" s="105"/>
      <c r="G213" s="107"/>
      <c r="H213" s="105"/>
      <c r="I213" s="108"/>
      <c r="J213" s="106"/>
      <c r="K213" s="106"/>
    </row>
    <row r="214" ht="43.5" customHeight="1">
      <c r="A214" s="109"/>
      <c r="B214" s="109"/>
      <c r="C214" s="109"/>
      <c r="D214" s="110"/>
      <c r="E214" s="109"/>
      <c r="F214" s="109"/>
      <c r="G214" s="111"/>
      <c r="H214" s="109"/>
      <c r="I214" s="112"/>
      <c r="J214" s="110"/>
      <c r="K214" s="110"/>
    </row>
    <row r="215" ht="43.5" customHeight="1">
      <c r="A215" s="105"/>
      <c r="B215" s="105"/>
      <c r="C215" s="105"/>
      <c r="D215" s="106"/>
      <c r="E215" s="105"/>
      <c r="F215" s="105"/>
      <c r="G215" s="107"/>
      <c r="H215" s="105"/>
      <c r="I215" s="108"/>
      <c r="J215" s="106"/>
      <c r="K215" s="106"/>
    </row>
    <row r="216" ht="43.5" customHeight="1">
      <c r="A216" s="109"/>
      <c r="B216" s="109"/>
      <c r="C216" s="109"/>
      <c r="D216" s="110"/>
      <c r="E216" s="109"/>
      <c r="F216" s="109"/>
      <c r="G216" s="111"/>
      <c r="H216" s="109"/>
      <c r="I216" s="112"/>
      <c r="J216" s="110"/>
      <c r="K216" s="110"/>
    </row>
    <row r="217" ht="43.5" customHeight="1">
      <c r="A217" s="105"/>
      <c r="B217" s="105"/>
      <c r="C217" s="105"/>
      <c r="D217" s="106"/>
      <c r="E217" s="105"/>
      <c r="F217" s="105"/>
      <c r="G217" s="107"/>
      <c r="H217" s="105"/>
      <c r="I217" s="108"/>
      <c r="J217" s="106"/>
      <c r="K217" s="106"/>
    </row>
    <row r="218" ht="43.5" customHeight="1">
      <c r="A218" s="109"/>
      <c r="B218" s="109"/>
      <c r="C218" s="109"/>
      <c r="D218" s="110"/>
      <c r="E218" s="109"/>
      <c r="F218" s="109"/>
      <c r="G218" s="111"/>
      <c r="H218" s="109"/>
      <c r="I218" s="112"/>
      <c r="J218" s="110"/>
      <c r="K218" s="110"/>
    </row>
    <row r="219" ht="43.5" customHeight="1">
      <c r="A219" s="105"/>
      <c r="B219" s="105"/>
      <c r="C219" s="105"/>
      <c r="D219" s="106"/>
      <c r="E219" s="105"/>
      <c r="F219" s="105"/>
      <c r="G219" s="107"/>
      <c r="H219" s="105"/>
      <c r="I219" s="108"/>
      <c r="J219" s="106"/>
      <c r="K219" s="106"/>
    </row>
    <row r="220" ht="43.5" customHeight="1">
      <c r="A220" s="109"/>
      <c r="B220" s="109"/>
      <c r="C220" s="109"/>
      <c r="D220" s="110"/>
      <c r="E220" s="109"/>
      <c r="F220" s="109"/>
      <c r="G220" s="111"/>
      <c r="H220" s="109"/>
      <c r="I220" s="112"/>
      <c r="J220" s="110"/>
      <c r="K220" s="110"/>
    </row>
    <row r="221" ht="43.5" customHeight="1">
      <c r="A221" s="105"/>
      <c r="B221" s="105"/>
      <c r="C221" s="105"/>
      <c r="D221" s="106"/>
      <c r="E221" s="105"/>
      <c r="F221" s="105"/>
      <c r="G221" s="107"/>
      <c r="H221" s="105"/>
      <c r="I221" s="108"/>
      <c r="J221" s="106"/>
      <c r="K221" s="106"/>
    </row>
    <row r="222" ht="43.5" customHeight="1">
      <c r="A222" s="109"/>
      <c r="B222" s="109"/>
      <c r="C222" s="109"/>
      <c r="D222" s="110"/>
      <c r="E222" s="109"/>
      <c r="F222" s="109"/>
      <c r="G222" s="111"/>
      <c r="H222" s="109"/>
      <c r="I222" s="112"/>
      <c r="J222" s="110"/>
      <c r="K222" s="110"/>
    </row>
    <row r="223" ht="43.5" customHeight="1">
      <c r="A223" s="105"/>
      <c r="B223" s="105"/>
      <c r="C223" s="105"/>
      <c r="D223" s="106"/>
      <c r="E223" s="105"/>
      <c r="F223" s="105"/>
      <c r="G223" s="107"/>
      <c r="H223" s="105"/>
      <c r="I223" s="108"/>
      <c r="J223" s="106"/>
      <c r="K223" s="106"/>
    </row>
    <row r="224" ht="43.5" customHeight="1">
      <c r="A224" s="109"/>
      <c r="B224" s="109"/>
      <c r="C224" s="109"/>
      <c r="D224" s="110"/>
      <c r="E224" s="109"/>
      <c r="F224" s="109"/>
      <c r="G224" s="111"/>
      <c r="H224" s="109"/>
      <c r="I224" s="112"/>
      <c r="J224" s="110"/>
      <c r="K224" s="110"/>
    </row>
    <row r="225" ht="43.5" customHeight="1">
      <c r="A225" s="105"/>
      <c r="B225" s="105"/>
      <c r="C225" s="105"/>
      <c r="D225" s="106"/>
      <c r="E225" s="105"/>
      <c r="F225" s="105"/>
      <c r="G225" s="107"/>
      <c r="H225" s="105"/>
      <c r="I225" s="108"/>
      <c r="J225" s="106"/>
      <c r="K225" s="106"/>
    </row>
    <row r="226" ht="43.5" customHeight="1">
      <c r="A226" s="109"/>
      <c r="B226" s="109"/>
      <c r="C226" s="109"/>
      <c r="D226" s="110"/>
      <c r="E226" s="109"/>
      <c r="F226" s="109"/>
      <c r="G226" s="111"/>
      <c r="H226" s="109"/>
      <c r="I226" s="112"/>
      <c r="J226" s="110"/>
      <c r="K226" s="110"/>
    </row>
    <row r="227" ht="43.5" customHeight="1">
      <c r="A227" s="105"/>
      <c r="B227" s="105"/>
      <c r="C227" s="105"/>
      <c r="D227" s="106"/>
      <c r="E227" s="105"/>
      <c r="F227" s="105"/>
      <c r="G227" s="107"/>
      <c r="H227" s="105"/>
      <c r="I227" s="108"/>
      <c r="J227" s="106"/>
      <c r="K227" s="106"/>
    </row>
    <row r="228" ht="43.5" customHeight="1">
      <c r="A228" s="109"/>
      <c r="B228" s="109"/>
      <c r="C228" s="109"/>
      <c r="D228" s="110"/>
      <c r="E228" s="109"/>
      <c r="F228" s="109"/>
      <c r="G228" s="111"/>
      <c r="H228" s="109"/>
      <c r="I228" s="112"/>
      <c r="J228" s="110"/>
      <c r="K228" s="110"/>
    </row>
    <row r="229" ht="43.5" customHeight="1">
      <c r="A229" s="105"/>
      <c r="B229" s="105"/>
      <c r="C229" s="105"/>
      <c r="D229" s="106"/>
      <c r="E229" s="105"/>
      <c r="F229" s="105"/>
      <c r="G229" s="107"/>
      <c r="H229" s="105"/>
      <c r="I229" s="108"/>
      <c r="J229" s="106"/>
      <c r="K229" s="106"/>
    </row>
    <row r="230" ht="43.5" customHeight="1">
      <c r="A230" s="109"/>
      <c r="B230" s="109"/>
      <c r="C230" s="109"/>
      <c r="D230" s="110"/>
      <c r="E230" s="109"/>
      <c r="F230" s="109"/>
      <c r="G230" s="111"/>
      <c r="H230" s="109"/>
      <c r="I230" s="112"/>
      <c r="J230" s="110"/>
      <c r="K230" s="110"/>
    </row>
    <row r="231" ht="43.5" customHeight="1">
      <c r="A231" s="105"/>
      <c r="B231" s="105"/>
      <c r="C231" s="105"/>
      <c r="D231" s="106"/>
      <c r="E231" s="105"/>
      <c r="F231" s="105"/>
      <c r="G231" s="107"/>
      <c r="H231" s="105"/>
      <c r="I231" s="108"/>
      <c r="J231" s="106"/>
      <c r="K231" s="106"/>
    </row>
    <row r="232" ht="43.5" customHeight="1">
      <c r="A232" s="109"/>
      <c r="B232" s="109"/>
      <c r="C232" s="109"/>
      <c r="D232" s="110"/>
      <c r="E232" s="109"/>
      <c r="F232" s="109"/>
      <c r="G232" s="111"/>
      <c r="H232" s="109"/>
      <c r="I232" s="112"/>
      <c r="J232" s="110"/>
      <c r="K232" s="110"/>
    </row>
    <row r="233" ht="43.5" customHeight="1">
      <c r="A233" s="105"/>
      <c r="B233" s="105"/>
      <c r="C233" s="105"/>
      <c r="D233" s="106"/>
      <c r="E233" s="105"/>
      <c r="F233" s="105"/>
      <c r="G233" s="107"/>
      <c r="H233" s="105"/>
      <c r="I233" s="108"/>
      <c r="J233" s="106"/>
      <c r="K233" s="106"/>
    </row>
    <row r="234" ht="43.5" customHeight="1">
      <c r="A234" s="109"/>
      <c r="B234" s="109"/>
      <c r="C234" s="109"/>
      <c r="D234" s="110"/>
      <c r="E234" s="109"/>
      <c r="F234" s="109"/>
      <c r="G234" s="111"/>
      <c r="H234" s="109"/>
      <c r="I234" s="112"/>
      <c r="J234" s="110"/>
      <c r="K234" s="110"/>
    </row>
    <row r="235" ht="43.5" customHeight="1">
      <c r="A235" s="105"/>
      <c r="B235" s="105"/>
      <c r="C235" s="105"/>
      <c r="D235" s="106"/>
      <c r="E235" s="105"/>
      <c r="F235" s="105"/>
      <c r="G235" s="107"/>
      <c r="H235" s="105"/>
      <c r="I235" s="108"/>
      <c r="J235" s="106"/>
      <c r="K235" s="106"/>
    </row>
    <row r="236" ht="43.5" customHeight="1">
      <c r="A236" s="109"/>
      <c r="B236" s="109"/>
      <c r="C236" s="109"/>
      <c r="D236" s="110"/>
      <c r="E236" s="109"/>
      <c r="F236" s="109"/>
      <c r="G236" s="111"/>
      <c r="H236" s="109"/>
      <c r="I236" s="112"/>
      <c r="J236" s="110"/>
      <c r="K236" s="110"/>
    </row>
    <row r="237" ht="43.5" customHeight="1">
      <c r="A237" s="105"/>
      <c r="B237" s="105"/>
      <c r="C237" s="105"/>
      <c r="D237" s="106"/>
      <c r="E237" s="105"/>
      <c r="F237" s="105"/>
      <c r="G237" s="107"/>
      <c r="H237" s="105"/>
      <c r="I237" s="108"/>
      <c r="J237" s="106"/>
      <c r="K237" s="106"/>
    </row>
    <row r="238" ht="43.5" customHeight="1">
      <c r="A238" s="109"/>
      <c r="B238" s="109"/>
      <c r="C238" s="109"/>
      <c r="D238" s="110"/>
      <c r="E238" s="109"/>
      <c r="F238" s="109"/>
      <c r="G238" s="111"/>
      <c r="H238" s="109"/>
      <c r="I238" s="112"/>
      <c r="J238" s="110"/>
      <c r="K238" s="110"/>
    </row>
    <row r="239" ht="43.5" customHeight="1">
      <c r="A239" s="105"/>
      <c r="B239" s="105"/>
      <c r="C239" s="105"/>
      <c r="D239" s="106"/>
      <c r="E239" s="105"/>
      <c r="F239" s="105"/>
      <c r="G239" s="107"/>
      <c r="H239" s="105"/>
      <c r="I239" s="108"/>
      <c r="J239" s="106"/>
      <c r="K239" s="106"/>
    </row>
    <row r="240" ht="43.5" customHeight="1">
      <c r="A240" s="109"/>
      <c r="B240" s="109"/>
      <c r="C240" s="109"/>
      <c r="D240" s="110"/>
      <c r="E240" s="109"/>
      <c r="F240" s="109"/>
      <c r="G240" s="111"/>
      <c r="H240" s="109"/>
      <c r="I240" s="112"/>
      <c r="J240" s="110"/>
      <c r="K240" s="110"/>
    </row>
    <row r="241" ht="43.5" customHeight="1">
      <c r="A241" s="105"/>
      <c r="B241" s="105"/>
      <c r="C241" s="105"/>
      <c r="D241" s="106"/>
      <c r="E241" s="105"/>
      <c r="F241" s="105"/>
      <c r="G241" s="107"/>
      <c r="H241" s="105"/>
      <c r="I241" s="108"/>
      <c r="J241" s="106"/>
      <c r="K241" s="106"/>
    </row>
    <row r="242" ht="43.5" customHeight="1">
      <c r="A242" s="109"/>
      <c r="B242" s="109"/>
      <c r="C242" s="109"/>
      <c r="D242" s="110"/>
      <c r="E242" s="109"/>
      <c r="F242" s="109"/>
      <c r="G242" s="111"/>
      <c r="H242" s="109"/>
      <c r="I242" s="112"/>
      <c r="J242" s="110"/>
      <c r="K242" s="110"/>
    </row>
    <row r="243" ht="43.5" customHeight="1">
      <c r="A243" s="105"/>
      <c r="B243" s="105"/>
      <c r="C243" s="105"/>
      <c r="D243" s="106"/>
      <c r="E243" s="105"/>
      <c r="F243" s="105"/>
      <c r="G243" s="107"/>
      <c r="H243" s="105"/>
      <c r="I243" s="108"/>
      <c r="J243" s="106"/>
      <c r="K243" s="106"/>
    </row>
    <row r="244" ht="43.5" customHeight="1">
      <c r="A244" s="109"/>
      <c r="B244" s="109"/>
      <c r="C244" s="109"/>
      <c r="D244" s="110"/>
      <c r="E244" s="109"/>
      <c r="F244" s="109"/>
      <c r="G244" s="111"/>
      <c r="H244" s="109"/>
      <c r="I244" s="112"/>
      <c r="J244" s="110"/>
      <c r="K244" s="110"/>
    </row>
    <row r="245" ht="43.5" customHeight="1">
      <c r="A245" s="105"/>
      <c r="B245" s="105"/>
      <c r="C245" s="105"/>
      <c r="D245" s="106"/>
      <c r="E245" s="105"/>
      <c r="F245" s="105"/>
      <c r="G245" s="107"/>
      <c r="H245" s="105"/>
      <c r="I245" s="108"/>
      <c r="J245" s="106"/>
      <c r="K245" s="106"/>
    </row>
    <row r="246" ht="43.5" customHeight="1">
      <c r="A246" s="109"/>
      <c r="B246" s="109"/>
      <c r="C246" s="109"/>
      <c r="D246" s="110"/>
      <c r="E246" s="109"/>
      <c r="F246" s="109"/>
      <c r="G246" s="111"/>
      <c r="H246" s="109"/>
      <c r="I246" s="112"/>
      <c r="J246" s="110"/>
      <c r="K246" s="110"/>
    </row>
    <row r="247" ht="43.5" customHeight="1">
      <c r="A247" s="105"/>
      <c r="B247" s="105"/>
      <c r="C247" s="105"/>
      <c r="D247" s="106"/>
      <c r="E247" s="105"/>
      <c r="F247" s="105"/>
      <c r="G247" s="107"/>
      <c r="H247" s="105"/>
      <c r="I247" s="108"/>
      <c r="J247" s="106"/>
      <c r="K247" s="106"/>
    </row>
    <row r="248" ht="43.5" customHeight="1">
      <c r="A248" s="109"/>
      <c r="B248" s="109"/>
      <c r="C248" s="109"/>
      <c r="D248" s="110"/>
      <c r="E248" s="109"/>
      <c r="F248" s="109"/>
      <c r="G248" s="111"/>
      <c r="H248" s="109"/>
      <c r="I248" s="112"/>
      <c r="J248" s="110"/>
      <c r="K248" s="110"/>
    </row>
    <row r="249" ht="43.5" customHeight="1">
      <c r="A249" s="105"/>
      <c r="B249" s="105"/>
      <c r="C249" s="105"/>
      <c r="D249" s="106"/>
      <c r="E249" s="105"/>
      <c r="F249" s="105"/>
      <c r="G249" s="107"/>
      <c r="H249" s="105"/>
      <c r="I249" s="108"/>
      <c r="J249" s="106"/>
      <c r="K249" s="106"/>
    </row>
    <row r="250" ht="43.5" customHeight="1">
      <c r="A250" s="109"/>
      <c r="B250" s="109"/>
      <c r="C250" s="109"/>
      <c r="D250" s="110"/>
      <c r="E250" s="109"/>
      <c r="F250" s="109"/>
      <c r="G250" s="111"/>
      <c r="H250" s="109"/>
      <c r="I250" s="112"/>
      <c r="J250" s="110"/>
      <c r="K250" s="110"/>
    </row>
    <row r="251" ht="43.5" customHeight="1">
      <c r="A251" s="105"/>
      <c r="B251" s="105"/>
      <c r="C251" s="105"/>
      <c r="D251" s="106"/>
      <c r="E251" s="105"/>
      <c r="F251" s="105"/>
      <c r="G251" s="107"/>
      <c r="H251" s="105"/>
      <c r="I251" s="108"/>
      <c r="J251" s="106"/>
      <c r="K251" s="106"/>
    </row>
    <row r="252" ht="43.5" customHeight="1">
      <c r="A252" s="109"/>
      <c r="B252" s="109"/>
      <c r="C252" s="109"/>
      <c r="D252" s="110"/>
      <c r="E252" s="109"/>
      <c r="F252" s="109"/>
      <c r="G252" s="111"/>
      <c r="H252" s="109"/>
      <c r="I252" s="112"/>
      <c r="J252" s="110"/>
      <c r="K252" s="110"/>
    </row>
    <row r="253" ht="43.5" customHeight="1">
      <c r="A253" s="105"/>
      <c r="B253" s="105"/>
      <c r="C253" s="105"/>
      <c r="D253" s="106"/>
      <c r="E253" s="105"/>
      <c r="F253" s="105"/>
      <c r="G253" s="107"/>
      <c r="H253" s="105"/>
      <c r="I253" s="108"/>
      <c r="J253" s="106"/>
      <c r="K253" s="106"/>
    </row>
    <row r="254" ht="43.5" customHeight="1">
      <c r="A254" s="109"/>
      <c r="B254" s="109"/>
      <c r="C254" s="109"/>
      <c r="D254" s="110"/>
      <c r="E254" s="109"/>
      <c r="F254" s="109"/>
      <c r="G254" s="111"/>
      <c r="H254" s="109"/>
      <c r="I254" s="112"/>
      <c r="J254" s="110"/>
      <c r="K254" s="110"/>
    </row>
    <row r="255" ht="43.5" customHeight="1">
      <c r="A255" s="105"/>
      <c r="B255" s="105"/>
      <c r="C255" s="105"/>
      <c r="D255" s="106"/>
      <c r="E255" s="105"/>
      <c r="F255" s="105"/>
      <c r="G255" s="107"/>
      <c r="H255" s="105"/>
      <c r="I255" s="108"/>
      <c r="J255" s="106"/>
      <c r="K255" s="106"/>
    </row>
    <row r="256" ht="43.5" customHeight="1">
      <c r="A256" s="109"/>
      <c r="B256" s="109"/>
      <c r="C256" s="109"/>
      <c r="D256" s="110"/>
      <c r="E256" s="109"/>
      <c r="F256" s="109"/>
      <c r="G256" s="111"/>
      <c r="H256" s="109"/>
      <c r="I256" s="112"/>
      <c r="J256" s="110"/>
      <c r="K256" s="110"/>
    </row>
    <row r="257" ht="43.5" customHeight="1">
      <c r="A257" s="105"/>
      <c r="B257" s="105"/>
      <c r="C257" s="105"/>
      <c r="D257" s="106"/>
      <c r="E257" s="105"/>
      <c r="F257" s="105"/>
      <c r="G257" s="107"/>
      <c r="H257" s="105"/>
      <c r="I257" s="108"/>
      <c r="J257" s="106"/>
      <c r="K257" s="106"/>
    </row>
    <row r="258" ht="43.5" customHeight="1">
      <c r="A258" s="109"/>
      <c r="B258" s="109"/>
      <c r="C258" s="109"/>
      <c r="D258" s="110"/>
      <c r="E258" s="109"/>
      <c r="F258" s="109"/>
      <c r="G258" s="111"/>
      <c r="H258" s="109"/>
      <c r="I258" s="112"/>
      <c r="J258" s="110"/>
      <c r="K258" s="110"/>
    </row>
    <row r="259" ht="43.5" customHeight="1">
      <c r="A259" s="105"/>
      <c r="B259" s="105"/>
      <c r="C259" s="105"/>
      <c r="D259" s="106"/>
      <c r="E259" s="105"/>
      <c r="F259" s="105"/>
      <c r="G259" s="107"/>
      <c r="H259" s="105"/>
      <c r="I259" s="108"/>
      <c r="J259" s="106"/>
      <c r="K259" s="106"/>
    </row>
    <row r="260" ht="43.5" customHeight="1">
      <c r="A260" s="109"/>
      <c r="B260" s="109"/>
      <c r="C260" s="109"/>
      <c r="D260" s="110"/>
      <c r="E260" s="109"/>
      <c r="F260" s="109"/>
      <c r="G260" s="111"/>
      <c r="H260" s="109"/>
      <c r="I260" s="112"/>
      <c r="J260" s="110"/>
      <c r="K260" s="110"/>
    </row>
    <row r="261" ht="43.5" customHeight="1">
      <c r="A261" s="105"/>
      <c r="B261" s="105"/>
      <c r="C261" s="105"/>
      <c r="D261" s="106"/>
      <c r="E261" s="105"/>
      <c r="F261" s="105"/>
      <c r="G261" s="107"/>
      <c r="H261" s="105"/>
      <c r="I261" s="108"/>
      <c r="J261" s="106"/>
      <c r="K261" s="106"/>
    </row>
    <row r="262" ht="43.5" customHeight="1">
      <c r="A262" s="109"/>
      <c r="B262" s="109"/>
      <c r="C262" s="109"/>
      <c r="D262" s="110"/>
      <c r="E262" s="109"/>
      <c r="F262" s="109"/>
      <c r="G262" s="111"/>
      <c r="H262" s="109"/>
      <c r="I262" s="112"/>
      <c r="J262" s="110"/>
      <c r="K262" s="110"/>
    </row>
    <row r="263" ht="43.5" customHeight="1">
      <c r="A263" s="105"/>
      <c r="B263" s="105"/>
      <c r="C263" s="105"/>
      <c r="D263" s="106"/>
      <c r="E263" s="105"/>
      <c r="F263" s="105"/>
      <c r="G263" s="107"/>
      <c r="H263" s="105"/>
      <c r="I263" s="108"/>
      <c r="J263" s="106"/>
      <c r="K263" s="106"/>
    </row>
    <row r="264" ht="43.5" customHeight="1">
      <c r="A264" s="109"/>
      <c r="B264" s="109"/>
      <c r="C264" s="109"/>
      <c r="D264" s="110"/>
      <c r="E264" s="109"/>
      <c r="F264" s="109"/>
      <c r="G264" s="111"/>
      <c r="H264" s="109"/>
      <c r="I264" s="112"/>
      <c r="J264" s="110"/>
      <c r="K264" s="110"/>
    </row>
    <row r="265" ht="43.5" customHeight="1">
      <c r="A265" s="105"/>
      <c r="B265" s="105"/>
      <c r="C265" s="105"/>
      <c r="D265" s="106"/>
      <c r="E265" s="105"/>
      <c r="F265" s="105"/>
      <c r="G265" s="107"/>
      <c r="H265" s="105"/>
      <c r="I265" s="108"/>
      <c r="J265" s="106"/>
      <c r="K265" s="106"/>
    </row>
    <row r="266" ht="43.5" customHeight="1">
      <c r="A266" s="109"/>
      <c r="B266" s="109"/>
      <c r="C266" s="109"/>
      <c r="D266" s="110"/>
      <c r="E266" s="109"/>
      <c r="F266" s="109"/>
      <c r="G266" s="111"/>
      <c r="H266" s="109"/>
      <c r="I266" s="112"/>
      <c r="J266" s="110"/>
      <c r="K266" s="110"/>
    </row>
    <row r="267" ht="43.5" customHeight="1">
      <c r="A267" s="105"/>
      <c r="B267" s="105"/>
      <c r="C267" s="105"/>
      <c r="D267" s="106"/>
      <c r="E267" s="105"/>
      <c r="F267" s="105"/>
      <c r="G267" s="107"/>
      <c r="H267" s="105"/>
      <c r="I267" s="108"/>
      <c r="J267" s="106"/>
      <c r="K267" s="106"/>
    </row>
    <row r="268" ht="43.5" customHeight="1">
      <c r="A268" s="109"/>
      <c r="B268" s="109"/>
      <c r="C268" s="109"/>
      <c r="D268" s="110"/>
      <c r="E268" s="109"/>
      <c r="F268" s="109"/>
      <c r="G268" s="111"/>
      <c r="H268" s="109"/>
      <c r="I268" s="112"/>
      <c r="J268" s="110"/>
      <c r="K268" s="110"/>
    </row>
    <row r="269" ht="43.5" customHeight="1">
      <c r="A269" s="105"/>
      <c r="B269" s="105"/>
      <c r="C269" s="105"/>
      <c r="D269" s="106"/>
      <c r="E269" s="105"/>
      <c r="F269" s="105"/>
      <c r="G269" s="107"/>
      <c r="H269" s="105"/>
      <c r="I269" s="108"/>
      <c r="J269" s="106"/>
      <c r="K269" s="106"/>
    </row>
    <row r="270" ht="43.5" customHeight="1">
      <c r="A270" s="109"/>
      <c r="B270" s="109"/>
      <c r="C270" s="109"/>
      <c r="D270" s="110"/>
      <c r="E270" s="109"/>
      <c r="F270" s="109"/>
      <c r="G270" s="111"/>
      <c r="H270" s="109"/>
      <c r="I270" s="112"/>
      <c r="J270" s="110"/>
      <c r="K270" s="110"/>
    </row>
    <row r="271" ht="43.5" customHeight="1">
      <c r="A271" s="105"/>
      <c r="B271" s="105"/>
      <c r="C271" s="105"/>
      <c r="D271" s="106"/>
      <c r="E271" s="105"/>
      <c r="F271" s="105"/>
      <c r="G271" s="107"/>
      <c r="H271" s="105"/>
      <c r="I271" s="108"/>
      <c r="J271" s="106"/>
      <c r="K271" s="106"/>
    </row>
    <row r="272" ht="43.5" customHeight="1">
      <c r="A272" s="109"/>
      <c r="B272" s="109"/>
      <c r="C272" s="109"/>
      <c r="D272" s="110"/>
      <c r="E272" s="109"/>
      <c r="F272" s="109"/>
      <c r="G272" s="111"/>
      <c r="H272" s="109"/>
      <c r="I272" s="112"/>
      <c r="J272" s="110"/>
      <c r="K272" s="110"/>
    </row>
    <row r="273" ht="43.5" customHeight="1">
      <c r="A273" s="105"/>
      <c r="B273" s="105"/>
      <c r="C273" s="105"/>
      <c r="D273" s="106"/>
      <c r="E273" s="105"/>
      <c r="F273" s="105"/>
      <c r="G273" s="107"/>
      <c r="H273" s="105"/>
      <c r="I273" s="108"/>
      <c r="J273" s="106"/>
      <c r="K273" s="106"/>
    </row>
    <row r="274" ht="43.5" customHeight="1">
      <c r="A274" s="109"/>
      <c r="B274" s="109"/>
      <c r="C274" s="109"/>
      <c r="D274" s="110"/>
      <c r="E274" s="109"/>
      <c r="F274" s="109"/>
      <c r="G274" s="111"/>
      <c r="H274" s="109"/>
      <c r="I274" s="112"/>
      <c r="J274" s="110"/>
      <c r="K274" s="110"/>
    </row>
    <row r="275" ht="43.5" customHeight="1">
      <c r="A275" s="105"/>
      <c r="B275" s="105"/>
      <c r="C275" s="105"/>
      <c r="D275" s="106"/>
      <c r="E275" s="105"/>
      <c r="F275" s="105"/>
      <c r="G275" s="107"/>
      <c r="H275" s="105"/>
      <c r="I275" s="108"/>
      <c r="J275" s="106"/>
      <c r="K275" s="106"/>
    </row>
    <row r="276" ht="43.5" customHeight="1">
      <c r="A276" s="109"/>
      <c r="B276" s="109"/>
      <c r="C276" s="109"/>
      <c r="D276" s="110"/>
      <c r="E276" s="109"/>
      <c r="F276" s="109"/>
      <c r="G276" s="111"/>
      <c r="H276" s="109"/>
      <c r="I276" s="112"/>
      <c r="J276" s="110"/>
      <c r="K276" s="110"/>
    </row>
    <row r="277" ht="43.5" customHeight="1">
      <c r="A277" s="105"/>
      <c r="B277" s="105"/>
      <c r="C277" s="105"/>
      <c r="D277" s="106"/>
      <c r="E277" s="105"/>
      <c r="F277" s="105"/>
      <c r="G277" s="107"/>
      <c r="H277" s="105"/>
      <c r="I277" s="108"/>
      <c r="J277" s="106"/>
      <c r="K277" s="106"/>
    </row>
    <row r="278" ht="43.5" customHeight="1">
      <c r="A278" s="109"/>
      <c r="B278" s="109"/>
      <c r="C278" s="109"/>
      <c r="D278" s="110"/>
      <c r="E278" s="109"/>
      <c r="F278" s="109"/>
      <c r="G278" s="111"/>
      <c r="H278" s="109"/>
      <c r="I278" s="112"/>
      <c r="J278" s="110"/>
      <c r="K278" s="110"/>
    </row>
    <row r="279" ht="43.5" customHeight="1">
      <c r="A279" s="105"/>
      <c r="B279" s="105"/>
      <c r="C279" s="105"/>
      <c r="D279" s="106"/>
      <c r="E279" s="105"/>
      <c r="F279" s="105"/>
      <c r="G279" s="107"/>
      <c r="H279" s="105"/>
      <c r="I279" s="108"/>
      <c r="J279" s="106"/>
      <c r="K279" s="106"/>
    </row>
    <row r="280" ht="43.5" customHeight="1">
      <c r="A280" s="109"/>
      <c r="B280" s="109"/>
      <c r="C280" s="109"/>
      <c r="D280" s="110"/>
      <c r="E280" s="109"/>
      <c r="F280" s="109"/>
      <c r="G280" s="111"/>
      <c r="H280" s="109"/>
      <c r="I280" s="112"/>
      <c r="J280" s="110"/>
      <c r="K280" s="110"/>
    </row>
    <row r="281" ht="43.5" customHeight="1">
      <c r="A281" s="105"/>
      <c r="B281" s="105"/>
      <c r="C281" s="105"/>
      <c r="D281" s="106"/>
      <c r="E281" s="105"/>
      <c r="F281" s="105"/>
      <c r="G281" s="107"/>
      <c r="H281" s="105"/>
      <c r="I281" s="108"/>
      <c r="J281" s="106"/>
      <c r="K281" s="106"/>
    </row>
    <row r="282" ht="43.5" customHeight="1">
      <c r="A282" s="109"/>
      <c r="B282" s="109"/>
      <c r="C282" s="109"/>
      <c r="D282" s="110"/>
      <c r="E282" s="109"/>
      <c r="F282" s="109"/>
      <c r="G282" s="111"/>
      <c r="H282" s="109"/>
      <c r="I282" s="112"/>
      <c r="J282" s="110"/>
      <c r="K282" s="110"/>
    </row>
    <row r="283" ht="43.5" customHeight="1">
      <c r="A283" s="105"/>
      <c r="B283" s="105"/>
      <c r="C283" s="105"/>
      <c r="D283" s="106"/>
      <c r="E283" s="105"/>
      <c r="F283" s="105"/>
      <c r="G283" s="107"/>
      <c r="H283" s="105"/>
      <c r="I283" s="108"/>
      <c r="J283" s="106"/>
      <c r="K283" s="106"/>
    </row>
    <row r="284" ht="43.5" customHeight="1">
      <c r="A284" s="109"/>
      <c r="B284" s="109"/>
      <c r="C284" s="109"/>
      <c r="D284" s="110"/>
      <c r="E284" s="109"/>
      <c r="F284" s="109"/>
      <c r="G284" s="111"/>
      <c r="H284" s="109"/>
      <c r="I284" s="112"/>
      <c r="J284" s="110"/>
      <c r="K284" s="110"/>
    </row>
    <row r="285" ht="43.5" customHeight="1">
      <c r="A285" s="105"/>
      <c r="B285" s="105"/>
      <c r="C285" s="105"/>
      <c r="D285" s="106"/>
      <c r="E285" s="105"/>
      <c r="F285" s="105"/>
      <c r="G285" s="107"/>
      <c r="H285" s="105"/>
      <c r="I285" s="108"/>
      <c r="J285" s="106"/>
      <c r="K285" s="106"/>
    </row>
    <row r="286" ht="43.5" customHeight="1">
      <c r="A286" s="109"/>
      <c r="B286" s="109"/>
      <c r="C286" s="109"/>
      <c r="D286" s="110"/>
      <c r="E286" s="109"/>
      <c r="F286" s="109"/>
      <c r="G286" s="111"/>
      <c r="H286" s="109"/>
      <c r="I286" s="112"/>
      <c r="J286" s="110"/>
      <c r="K286" s="110"/>
    </row>
    <row r="287" ht="43.5" customHeight="1">
      <c r="A287" s="105"/>
      <c r="B287" s="105"/>
      <c r="C287" s="105"/>
      <c r="D287" s="106"/>
      <c r="E287" s="105"/>
      <c r="F287" s="105"/>
      <c r="G287" s="107"/>
      <c r="H287" s="105"/>
      <c r="I287" s="108"/>
      <c r="J287" s="106"/>
      <c r="K287" s="106"/>
    </row>
    <row r="288" ht="43.5" customHeight="1">
      <c r="A288" s="109"/>
      <c r="B288" s="109"/>
      <c r="C288" s="109"/>
      <c r="D288" s="110"/>
      <c r="E288" s="109"/>
      <c r="F288" s="109"/>
      <c r="G288" s="111"/>
      <c r="H288" s="109"/>
      <c r="I288" s="112"/>
      <c r="J288" s="110"/>
      <c r="K288" s="110"/>
    </row>
    <row r="289" ht="43.5" customHeight="1">
      <c r="A289" s="105"/>
      <c r="B289" s="105"/>
      <c r="C289" s="105"/>
      <c r="D289" s="106"/>
      <c r="E289" s="105"/>
      <c r="F289" s="105"/>
      <c r="G289" s="107"/>
      <c r="H289" s="105"/>
      <c r="I289" s="108"/>
      <c r="J289" s="106"/>
      <c r="K289" s="106"/>
    </row>
    <row r="290" ht="43.5" customHeight="1">
      <c r="A290" s="109"/>
      <c r="B290" s="109"/>
      <c r="C290" s="109"/>
      <c r="D290" s="110"/>
      <c r="E290" s="109"/>
      <c r="F290" s="109"/>
      <c r="G290" s="111"/>
      <c r="H290" s="109"/>
      <c r="I290" s="112"/>
      <c r="J290" s="110"/>
      <c r="K290" s="110"/>
    </row>
    <row r="291" ht="43.5" customHeight="1">
      <c r="A291" s="105"/>
      <c r="B291" s="105"/>
      <c r="C291" s="105"/>
      <c r="D291" s="106"/>
      <c r="E291" s="105"/>
      <c r="F291" s="105"/>
      <c r="G291" s="107"/>
      <c r="H291" s="105"/>
      <c r="I291" s="108"/>
      <c r="J291" s="106"/>
      <c r="K291" s="106"/>
    </row>
    <row r="292" ht="43.5" customHeight="1">
      <c r="A292" s="109"/>
      <c r="B292" s="109"/>
      <c r="C292" s="109"/>
      <c r="D292" s="110"/>
      <c r="E292" s="109"/>
      <c r="F292" s="109"/>
      <c r="G292" s="111"/>
      <c r="H292" s="109"/>
      <c r="I292" s="112"/>
      <c r="J292" s="110"/>
      <c r="K292" s="110"/>
    </row>
    <row r="293" ht="43.5" customHeight="1">
      <c r="A293" s="105"/>
      <c r="B293" s="105"/>
      <c r="C293" s="105"/>
      <c r="D293" s="106"/>
      <c r="E293" s="105"/>
      <c r="F293" s="105"/>
      <c r="G293" s="107"/>
      <c r="H293" s="105"/>
      <c r="I293" s="108"/>
      <c r="J293" s="106"/>
      <c r="K293" s="106"/>
    </row>
    <row r="294" ht="43.5" customHeight="1">
      <c r="A294" s="109"/>
      <c r="B294" s="109"/>
      <c r="C294" s="109"/>
      <c r="D294" s="110"/>
      <c r="E294" s="109"/>
      <c r="F294" s="109"/>
      <c r="G294" s="111"/>
      <c r="H294" s="109"/>
      <c r="I294" s="112"/>
      <c r="J294" s="110"/>
      <c r="K294" s="110"/>
    </row>
    <row r="295" ht="43.5" customHeight="1">
      <c r="A295" s="105"/>
      <c r="B295" s="105"/>
      <c r="C295" s="105"/>
      <c r="D295" s="106"/>
      <c r="E295" s="105"/>
      <c r="F295" s="105"/>
      <c r="G295" s="107"/>
      <c r="H295" s="105"/>
      <c r="I295" s="108"/>
      <c r="J295" s="106"/>
      <c r="K295" s="106"/>
    </row>
    <row r="296" ht="43.5" customHeight="1">
      <c r="A296" s="109"/>
      <c r="B296" s="109"/>
      <c r="C296" s="109"/>
      <c r="D296" s="110"/>
      <c r="E296" s="109"/>
      <c r="F296" s="109"/>
      <c r="G296" s="111"/>
      <c r="H296" s="109"/>
      <c r="I296" s="112"/>
      <c r="J296" s="110"/>
      <c r="K296" s="110"/>
    </row>
    <row r="297" ht="43.5" customHeight="1">
      <c r="A297" s="105"/>
      <c r="B297" s="105"/>
      <c r="C297" s="105"/>
      <c r="D297" s="106"/>
      <c r="E297" s="105"/>
      <c r="F297" s="105"/>
      <c r="G297" s="107"/>
      <c r="H297" s="105"/>
      <c r="I297" s="108"/>
      <c r="J297" s="106"/>
      <c r="K297" s="106"/>
    </row>
    <row r="298" ht="43.5" customHeight="1">
      <c r="A298" s="109"/>
      <c r="B298" s="109"/>
      <c r="C298" s="109"/>
      <c r="D298" s="110"/>
      <c r="E298" s="109"/>
      <c r="F298" s="109"/>
      <c r="G298" s="111"/>
      <c r="H298" s="109"/>
      <c r="I298" s="112"/>
      <c r="J298" s="110"/>
      <c r="K298" s="110"/>
    </row>
    <row r="299" ht="43.5" customHeight="1">
      <c r="A299" s="105"/>
      <c r="B299" s="105"/>
      <c r="C299" s="105"/>
      <c r="D299" s="106"/>
      <c r="E299" s="105"/>
      <c r="F299" s="105"/>
      <c r="G299" s="107"/>
      <c r="H299" s="105"/>
      <c r="I299" s="108"/>
      <c r="J299" s="106"/>
      <c r="K299" s="106"/>
    </row>
    <row r="300" ht="43.5" customHeight="1">
      <c r="A300" s="109"/>
      <c r="B300" s="109"/>
      <c r="C300" s="109"/>
      <c r="D300" s="110"/>
      <c r="E300" s="109"/>
      <c r="F300" s="109"/>
      <c r="G300" s="111"/>
      <c r="H300" s="109"/>
      <c r="I300" s="112"/>
      <c r="J300" s="110"/>
      <c r="K300" s="110"/>
    </row>
    <row r="301" ht="43.5" customHeight="1">
      <c r="A301" s="105"/>
      <c r="B301" s="105"/>
      <c r="C301" s="105"/>
      <c r="D301" s="106"/>
      <c r="E301" s="105"/>
      <c r="F301" s="105"/>
      <c r="G301" s="107"/>
      <c r="H301" s="105"/>
      <c r="I301" s="108"/>
      <c r="J301" s="106"/>
      <c r="K301" s="106"/>
    </row>
    <row r="302" ht="43.5" customHeight="1">
      <c r="A302" s="109"/>
      <c r="B302" s="109"/>
      <c r="C302" s="109"/>
      <c r="D302" s="110"/>
      <c r="E302" s="109"/>
      <c r="F302" s="109"/>
      <c r="G302" s="111"/>
      <c r="H302" s="109"/>
      <c r="I302" s="112"/>
      <c r="J302" s="110"/>
      <c r="K302" s="110"/>
    </row>
    <row r="303" ht="43.5" customHeight="1">
      <c r="A303" s="105"/>
      <c r="B303" s="105"/>
      <c r="C303" s="105"/>
      <c r="D303" s="106"/>
      <c r="E303" s="105"/>
      <c r="F303" s="105"/>
      <c r="G303" s="107"/>
      <c r="H303" s="105"/>
      <c r="I303" s="108"/>
      <c r="J303" s="106"/>
      <c r="K303" s="106"/>
    </row>
    <row r="304" ht="43.5" customHeight="1">
      <c r="A304" s="109"/>
      <c r="B304" s="109"/>
      <c r="C304" s="109"/>
      <c r="D304" s="110"/>
      <c r="E304" s="109"/>
      <c r="F304" s="109"/>
      <c r="G304" s="111"/>
      <c r="H304" s="109"/>
      <c r="I304" s="112"/>
      <c r="J304" s="110"/>
      <c r="K304" s="110"/>
    </row>
    <row r="305" ht="43.5" customHeight="1">
      <c r="A305" s="105"/>
      <c r="B305" s="105"/>
      <c r="C305" s="105"/>
      <c r="D305" s="106"/>
      <c r="E305" s="105"/>
      <c r="F305" s="105"/>
      <c r="G305" s="107"/>
      <c r="H305" s="105"/>
      <c r="I305" s="108"/>
      <c r="J305" s="106"/>
      <c r="K305" s="106"/>
    </row>
    <row r="306" ht="43.5" customHeight="1">
      <c r="A306" s="109"/>
      <c r="B306" s="109"/>
      <c r="C306" s="109"/>
      <c r="D306" s="110"/>
      <c r="E306" s="109"/>
      <c r="F306" s="109"/>
      <c r="G306" s="111"/>
      <c r="H306" s="109"/>
      <c r="I306" s="112"/>
      <c r="J306" s="110"/>
      <c r="K306" s="110"/>
    </row>
    <row r="307" ht="43.5" customHeight="1">
      <c r="A307" s="105"/>
      <c r="B307" s="105"/>
      <c r="C307" s="105"/>
      <c r="D307" s="106"/>
      <c r="E307" s="105"/>
      <c r="F307" s="105"/>
      <c r="G307" s="107"/>
      <c r="H307" s="105"/>
      <c r="I307" s="108"/>
      <c r="J307" s="106"/>
      <c r="K307" s="106"/>
    </row>
    <row r="308" ht="43.5" customHeight="1">
      <c r="A308" s="109"/>
      <c r="B308" s="109"/>
      <c r="C308" s="109"/>
      <c r="D308" s="110"/>
      <c r="E308" s="109"/>
      <c r="F308" s="109"/>
      <c r="G308" s="111"/>
      <c r="H308" s="109"/>
      <c r="I308" s="112"/>
      <c r="J308" s="110"/>
      <c r="K308" s="110"/>
    </row>
    <row r="309" ht="43.5" customHeight="1">
      <c r="A309" s="105"/>
      <c r="B309" s="105"/>
      <c r="C309" s="105"/>
      <c r="D309" s="106"/>
      <c r="E309" s="105"/>
      <c r="F309" s="105"/>
      <c r="G309" s="107"/>
      <c r="H309" s="105"/>
      <c r="I309" s="108"/>
      <c r="J309" s="106"/>
      <c r="K309" s="106"/>
    </row>
    <row r="310" ht="43.5" customHeight="1">
      <c r="A310" s="109"/>
      <c r="B310" s="109"/>
      <c r="C310" s="109"/>
      <c r="D310" s="110"/>
      <c r="E310" s="109"/>
      <c r="F310" s="109"/>
      <c r="G310" s="111"/>
      <c r="H310" s="109"/>
      <c r="I310" s="112"/>
      <c r="J310" s="110"/>
      <c r="K310" s="110"/>
    </row>
    <row r="311" ht="43.5" customHeight="1">
      <c r="A311" s="105"/>
      <c r="B311" s="105"/>
      <c r="C311" s="105"/>
      <c r="D311" s="106"/>
      <c r="E311" s="105"/>
      <c r="F311" s="105"/>
      <c r="G311" s="107"/>
      <c r="H311" s="105"/>
      <c r="I311" s="108"/>
      <c r="J311" s="106"/>
      <c r="K311" s="106"/>
    </row>
    <row r="312" ht="43.5" customHeight="1">
      <c r="A312" s="109"/>
      <c r="B312" s="109"/>
      <c r="C312" s="109"/>
      <c r="D312" s="110"/>
      <c r="E312" s="109"/>
      <c r="F312" s="109"/>
      <c r="G312" s="111"/>
      <c r="H312" s="109"/>
      <c r="I312" s="112"/>
      <c r="J312" s="110"/>
      <c r="K312" s="110"/>
    </row>
    <row r="313" ht="43.5" customHeight="1">
      <c r="A313" s="105"/>
      <c r="B313" s="105"/>
      <c r="C313" s="105"/>
      <c r="D313" s="106"/>
      <c r="E313" s="105"/>
      <c r="F313" s="105"/>
      <c r="G313" s="107"/>
      <c r="H313" s="105"/>
      <c r="I313" s="108"/>
      <c r="J313" s="106"/>
      <c r="K313" s="106"/>
    </row>
    <row r="314" ht="43.5" customHeight="1">
      <c r="A314" s="109"/>
      <c r="B314" s="109"/>
      <c r="C314" s="109"/>
      <c r="D314" s="110"/>
      <c r="E314" s="109"/>
      <c r="F314" s="109"/>
      <c r="G314" s="111"/>
      <c r="H314" s="109"/>
      <c r="I314" s="112"/>
      <c r="J314" s="110"/>
      <c r="K314" s="110"/>
    </row>
    <row r="315" ht="43.5" customHeight="1">
      <c r="A315" s="105"/>
      <c r="B315" s="105"/>
      <c r="C315" s="105"/>
      <c r="D315" s="106"/>
      <c r="E315" s="105"/>
      <c r="F315" s="105"/>
      <c r="G315" s="107"/>
      <c r="H315" s="105"/>
      <c r="I315" s="108"/>
      <c r="J315" s="106"/>
      <c r="K315" s="106"/>
    </row>
    <row r="316" ht="43.5" customHeight="1">
      <c r="A316" s="109"/>
      <c r="B316" s="109"/>
      <c r="C316" s="109"/>
      <c r="D316" s="110"/>
      <c r="E316" s="109"/>
      <c r="F316" s="109"/>
      <c r="G316" s="111"/>
      <c r="H316" s="109"/>
      <c r="I316" s="112"/>
      <c r="J316" s="110"/>
      <c r="K316" s="110"/>
    </row>
    <row r="317" ht="43.5" customHeight="1">
      <c r="A317" s="105"/>
      <c r="B317" s="105"/>
      <c r="C317" s="105"/>
      <c r="D317" s="106"/>
      <c r="E317" s="105"/>
      <c r="F317" s="105"/>
      <c r="G317" s="107"/>
      <c r="H317" s="105"/>
      <c r="I317" s="108"/>
      <c r="J317" s="106"/>
      <c r="K317" s="106"/>
    </row>
    <row r="318" ht="43.5" customHeight="1">
      <c r="A318" s="109"/>
      <c r="B318" s="109"/>
      <c r="C318" s="109"/>
      <c r="D318" s="110"/>
      <c r="E318" s="109"/>
      <c r="F318" s="109"/>
      <c r="G318" s="111"/>
      <c r="H318" s="109"/>
      <c r="I318" s="112"/>
      <c r="J318" s="110"/>
      <c r="K318" s="110"/>
    </row>
    <row r="319" ht="43.5" customHeight="1">
      <c r="A319" s="105"/>
      <c r="B319" s="105"/>
      <c r="C319" s="105"/>
      <c r="D319" s="106"/>
      <c r="E319" s="105"/>
      <c r="F319" s="105"/>
      <c r="G319" s="107"/>
      <c r="H319" s="105"/>
      <c r="I319" s="108"/>
      <c r="J319" s="106"/>
      <c r="K319" s="106"/>
    </row>
    <row r="320" ht="43.5" customHeight="1">
      <c r="A320" s="109"/>
      <c r="B320" s="109"/>
      <c r="C320" s="109"/>
      <c r="D320" s="110"/>
      <c r="E320" s="109"/>
      <c r="F320" s="109"/>
      <c r="G320" s="111"/>
      <c r="H320" s="109"/>
      <c r="I320" s="112"/>
      <c r="J320" s="110"/>
      <c r="K320" s="110"/>
    </row>
    <row r="321" ht="43.5" customHeight="1">
      <c r="A321" s="105"/>
      <c r="B321" s="105"/>
      <c r="C321" s="105"/>
      <c r="D321" s="106"/>
      <c r="E321" s="105"/>
      <c r="F321" s="105"/>
      <c r="G321" s="107"/>
      <c r="H321" s="105"/>
      <c r="I321" s="108"/>
      <c r="J321" s="106"/>
      <c r="K321" s="106"/>
    </row>
    <row r="322" ht="43.5" customHeight="1">
      <c r="A322" s="109"/>
      <c r="B322" s="109"/>
      <c r="C322" s="109"/>
      <c r="D322" s="110"/>
      <c r="E322" s="109"/>
      <c r="F322" s="109"/>
      <c r="G322" s="111"/>
      <c r="H322" s="109"/>
      <c r="I322" s="112"/>
      <c r="J322" s="110"/>
      <c r="K322" s="110"/>
    </row>
    <row r="323" ht="43.5" customHeight="1">
      <c r="A323" s="105"/>
      <c r="B323" s="105"/>
      <c r="C323" s="105"/>
      <c r="D323" s="106"/>
      <c r="E323" s="105"/>
      <c r="F323" s="105"/>
      <c r="G323" s="107"/>
      <c r="H323" s="105"/>
      <c r="I323" s="108"/>
      <c r="J323" s="106"/>
      <c r="K323" s="106"/>
    </row>
    <row r="324" ht="43.5" customHeight="1">
      <c r="A324" s="109"/>
      <c r="B324" s="109"/>
      <c r="C324" s="109"/>
      <c r="D324" s="110"/>
      <c r="E324" s="109"/>
      <c r="F324" s="109"/>
      <c r="G324" s="111"/>
      <c r="H324" s="109"/>
      <c r="I324" s="112"/>
      <c r="J324" s="110"/>
      <c r="K324" s="110"/>
    </row>
    <row r="325" ht="43.5" customHeight="1">
      <c r="A325" s="105"/>
      <c r="B325" s="105"/>
      <c r="C325" s="105"/>
      <c r="D325" s="106"/>
      <c r="E325" s="105"/>
      <c r="F325" s="105"/>
      <c r="G325" s="107"/>
      <c r="H325" s="105"/>
      <c r="I325" s="108"/>
      <c r="J325" s="106"/>
      <c r="K325" s="106"/>
    </row>
    <row r="326" ht="43.5" customHeight="1">
      <c r="A326" s="109"/>
      <c r="B326" s="109"/>
      <c r="C326" s="109"/>
      <c r="D326" s="110"/>
      <c r="E326" s="109"/>
      <c r="F326" s="109"/>
      <c r="G326" s="111"/>
      <c r="H326" s="109"/>
      <c r="I326" s="112"/>
      <c r="J326" s="110"/>
      <c r="K326" s="110"/>
    </row>
    <row r="327" ht="43.5" customHeight="1">
      <c r="A327" s="105"/>
      <c r="B327" s="105"/>
      <c r="C327" s="105"/>
      <c r="D327" s="106"/>
      <c r="E327" s="105"/>
      <c r="F327" s="105"/>
      <c r="G327" s="107"/>
      <c r="H327" s="105"/>
      <c r="I327" s="108"/>
      <c r="J327" s="106"/>
      <c r="K327" s="106"/>
    </row>
    <row r="328" ht="43.5" customHeight="1">
      <c r="A328" s="109"/>
      <c r="B328" s="109"/>
      <c r="C328" s="109"/>
      <c r="D328" s="110"/>
      <c r="E328" s="109"/>
      <c r="F328" s="109"/>
      <c r="G328" s="111"/>
      <c r="H328" s="109"/>
      <c r="I328" s="112"/>
      <c r="J328" s="110"/>
      <c r="K328" s="110"/>
    </row>
    <row r="329" ht="43.5" customHeight="1">
      <c r="A329" s="105"/>
      <c r="B329" s="105"/>
      <c r="C329" s="105"/>
      <c r="D329" s="106"/>
      <c r="E329" s="105"/>
      <c r="F329" s="105"/>
      <c r="G329" s="107"/>
      <c r="H329" s="105"/>
      <c r="I329" s="108"/>
      <c r="J329" s="106"/>
      <c r="K329" s="106"/>
    </row>
    <row r="330" ht="43.5" customHeight="1">
      <c r="A330" s="109"/>
      <c r="B330" s="109"/>
      <c r="C330" s="109"/>
      <c r="D330" s="110"/>
      <c r="E330" s="109"/>
      <c r="F330" s="109"/>
      <c r="G330" s="111"/>
      <c r="H330" s="109"/>
      <c r="I330" s="112"/>
      <c r="J330" s="110"/>
      <c r="K330" s="110"/>
    </row>
    <row r="331" ht="43.5" customHeight="1">
      <c r="A331" s="105"/>
      <c r="B331" s="105"/>
      <c r="C331" s="105"/>
      <c r="D331" s="106"/>
      <c r="E331" s="105"/>
      <c r="F331" s="105"/>
      <c r="G331" s="107"/>
      <c r="H331" s="105"/>
      <c r="I331" s="108"/>
      <c r="J331" s="106"/>
      <c r="K331" s="106"/>
    </row>
    <row r="332" ht="43.5" customHeight="1">
      <c r="A332" s="109"/>
      <c r="B332" s="109"/>
      <c r="C332" s="109"/>
      <c r="D332" s="110"/>
      <c r="E332" s="109"/>
      <c r="F332" s="109"/>
      <c r="G332" s="111"/>
      <c r="H332" s="109"/>
      <c r="I332" s="112"/>
      <c r="J332" s="110"/>
      <c r="K332" s="110"/>
    </row>
    <row r="333" ht="43.5" customHeight="1">
      <c r="A333" s="105"/>
      <c r="B333" s="105"/>
      <c r="C333" s="105"/>
      <c r="D333" s="106"/>
      <c r="E333" s="105"/>
      <c r="F333" s="105"/>
      <c r="G333" s="107"/>
      <c r="H333" s="105"/>
      <c r="I333" s="108"/>
      <c r="J333" s="106"/>
      <c r="K333" s="106"/>
    </row>
    <row r="334" ht="43.5" customHeight="1">
      <c r="A334" s="109"/>
      <c r="B334" s="109"/>
      <c r="C334" s="109"/>
      <c r="D334" s="110"/>
      <c r="E334" s="109"/>
      <c r="F334" s="109"/>
      <c r="G334" s="111"/>
      <c r="H334" s="109"/>
      <c r="I334" s="112"/>
      <c r="J334" s="110"/>
      <c r="K334" s="110"/>
    </row>
    <row r="335" ht="43.5" customHeight="1">
      <c r="A335" s="105"/>
      <c r="B335" s="105"/>
      <c r="C335" s="105"/>
      <c r="D335" s="106"/>
      <c r="E335" s="105"/>
      <c r="F335" s="105"/>
      <c r="G335" s="107"/>
      <c r="H335" s="105"/>
      <c r="I335" s="108"/>
      <c r="J335" s="106"/>
      <c r="K335" s="106"/>
    </row>
    <row r="336" ht="43.5" customHeight="1">
      <c r="A336" s="109"/>
      <c r="B336" s="109"/>
      <c r="C336" s="109"/>
      <c r="D336" s="110"/>
      <c r="E336" s="109"/>
      <c r="F336" s="109"/>
      <c r="G336" s="111"/>
      <c r="H336" s="109"/>
      <c r="I336" s="112"/>
      <c r="J336" s="110"/>
      <c r="K336" s="110"/>
    </row>
    <row r="337" ht="43.5" customHeight="1">
      <c r="A337" s="105"/>
      <c r="B337" s="105"/>
      <c r="C337" s="105"/>
      <c r="D337" s="106"/>
      <c r="E337" s="105"/>
      <c r="F337" s="105"/>
      <c r="G337" s="107"/>
      <c r="H337" s="105"/>
      <c r="I337" s="108"/>
      <c r="J337" s="106"/>
      <c r="K337" s="106"/>
    </row>
    <row r="338" ht="43.5" customHeight="1">
      <c r="A338" s="109"/>
      <c r="B338" s="109"/>
      <c r="C338" s="109"/>
      <c r="D338" s="110"/>
      <c r="E338" s="109"/>
      <c r="F338" s="109"/>
      <c r="G338" s="111"/>
      <c r="H338" s="109"/>
      <c r="I338" s="112"/>
      <c r="J338" s="110"/>
      <c r="K338" s="110"/>
    </row>
    <row r="339" ht="43.5" customHeight="1">
      <c r="A339" s="105"/>
      <c r="B339" s="105"/>
      <c r="C339" s="105"/>
      <c r="D339" s="106"/>
      <c r="E339" s="105"/>
      <c r="F339" s="105"/>
      <c r="G339" s="107"/>
      <c r="H339" s="105"/>
      <c r="I339" s="108"/>
      <c r="J339" s="106"/>
      <c r="K339" s="106"/>
    </row>
    <row r="340" ht="43.5" customHeight="1">
      <c r="A340" s="109"/>
      <c r="B340" s="109"/>
      <c r="C340" s="109"/>
      <c r="D340" s="110"/>
      <c r="E340" s="109"/>
      <c r="F340" s="109"/>
      <c r="G340" s="111"/>
      <c r="H340" s="109"/>
      <c r="I340" s="112"/>
      <c r="J340" s="110"/>
      <c r="K340" s="110"/>
    </row>
    <row r="341" ht="43.5" customHeight="1">
      <c r="A341" s="105"/>
      <c r="B341" s="105"/>
      <c r="C341" s="105"/>
      <c r="D341" s="106"/>
      <c r="E341" s="105"/>
      <c r="F341" s="105"/>
      <c r="G341" s="107"/>
      <c r="H341" s="105"/>
      <c r="I341" s="108"/>
      <c r="J341" s="106"/>
      <c r="K341" s="106"/>
    </row>
    <row r="342" ht="43.5" customHeight="1">
      <c r="A342" s="109"/>
      <c r="B342" s="109"/>
      <c r="C342" s="109"/>
      <c r="D342" s="110"/>
      <c r="E342" s="109"/>
      <c r="F342" s="109"/>
      <c r="G342" s="111"/>
      <c r="H342" s="109"/>
      <c r="I342" s="112"/>
      <c r="J342" s="110"/>
      <c r="K342" s="110"/>
    </row>
    <row r="343" ht="43.5" customHeight="1">
      <c r="A343" s="105"/>
      <c r="B343" s="105"/>
      <c r="C343" s="105"/>
      <c r="D343" s="106"/>
      <c r="E343" s="105"/>
      <c r="F343" s="105"/>
      <c r="G343" s="107"/>
      <c r="H343" s="105"/>
      <c r="I343" s="108"/>
      <c r="J343" s="106"/>
      <c r="K343" s="106"/>
    </row>
    <row r="344" ht="43.5" customHeight="1">
      <c r="A344" s="109"/>
      <c r="B344" s="109"/>
      <c r="C344" s="109"/>
      <c r="D344" s="110"/>
      <c r="E344" s="109"/>
      <c r="F344" s="109"/>
      <c r="G344" s="111"/>
      <c r="H344" s="109"/>
      <c r="I344" s="112"/>
      <c r="J344" s="110"/>
      <c r="K344" s="110"/>
    </row>
    <row r="345" ht="43.5" customHeight="1">
      <c r="A345" s="105"/>
      <c r="B345" s="105"/>
      <c r="C345" s="105"/>
      <c r="D345" s="106"/>
      <c r="E345" s="105"/>
      <c r="F345" s="105"/>
      <c r="G345" s="107"/>
      <c r="H345" s="105"/>
      <c r="I345" s="108"/>
      <c r="J345" s="106"/>
      <c r="K345" s="106"/>
    </row>
    <row r="346" ht="43.5" customHeight="1">
      <c r="A346" s="109"/>
      <c r="B346" s="109"/>
      <c r="C346" s="109"/>
      <c r="D346" s="110"/>
      <c r="E346" s="109"/>
      <c r="F346" s="109"/>
      <c r="G346" s="111"/>
      <c r="H346" s="109"/>
      <c r="I346" s="112"/>
      <c r="J346" s="110"/>
      <c r="K346" s="110"/>
    </row>
    <row r="347" ht="43.5" customHeight="1">
      <c r="A347" s="105"/>
      <c r="B347" s="105"/>
      <c r="C347" s="105"/>
      <c r="D347" s="106"/>
      <c r="E347" s="105"/>
      <c r="F347" s="105"/>
      <c r="G347" s="107"/>
      <c r="H347" s="105"/>
      <c r="I347" s="108"/>
      <c r="J347" s="106"/>
      <c r="K347" s="106"/>
    </row>
    <row r="348" ht="43.5" customHeight="1">
      <c r="A348" s="109"/>
      <c r="B348" s="109"/>
      <c r="C348" s="109"/>
      <c r="D348" s="110"/>
      <c r="E348" s="109"/>
      <c r="F348" s="109"/>
      <c r="G348" s="111"/>
      <c r="H348" s="109"/>
      <c r="I348" s="112"/>
      <c r="J348" s="110"/>
      <c r="K348" s="110"/>
    </row>
    <row r="349" ht="43.5" customHeight="1">
      <c r="A349" s="105"/>
      <c r="B349" s="105"/>
      <c r="C349" s="105"/>
      <c r="D349" s="106"/>
      <c r="E349" s="105"/>
      <c r="F349" s="105"/>
      <c r="G349" s="107"/>
      <c r="H349" s="105"/>
      <c r="I349" s="108"/>
      <c r="J349" s="106"/>
      <c r="K349" s="106"/>
    </row>
    <row r="350" ht="43.5" customHeight="1">
      <c r="A350" s="109"/>
      <c r="B350" s="109"/>
      <c r="C350" s="109"/>
      <c r="D350" s="110"/>
      <c r="E350" s="109"/>
      <c r="F350" s="109"/>
      <c r="G350" s="111"/>
      <c r="H350" s="109"/>
      <c r="I350" s="112"/>
      <c r="J350" s="110"/>
      <c r="K350" s="110"/>
    </row>
    <row r="351" ht="43.5" customHeight="1">
      <c r="A351" s="105"/>
      <c r="B351" s="105"/>
      <c r="C351" s="105"/>
      <c r="D351" s="106"/>
      <c r="E351" s="105"/>
      <c r="F351" s="105"/>
      <c r="G351" s="107"/>
      <c r="H351" s="105"/>
      <c r="I351" s="108"/>
      <c r="J351" s="106"/>
      <c r="K351" s="106"/>
    </row>
    <row r="352" ht="43.5" customHeight="1">
      <c r="A352" s="109"/>
      <c r="B352" s="109"/>
      <c r="C352" s="109"/>
      <c r="D352" s="110"/>
      <c r="E352" s="109"/>
      <c r="F352" s="109"/>
      <c r="G352" s="111"/>
      <c r="H352" s="109"/>
      <c r="I352" s="112"/>
      <c r="J352" s="110"/>
      <c r="K352" s="110"/>
    </row>
    <row r="353" ht="43.5" customHeight="1">
      <c r="A353" s="105"/>
      <c r="B353" s="105"/>
      <c r="C353" s="105"/>
      <c r="D353" s="106"/>
      <c r="E353" s="105"/>
      <c r="F353" s="105"/>
      <c r="G353" s="107"/>
      <c r="H353" s="105"/>
      <c r="I353" s="108"/>
      <c r="J353" s="106"/>
      <c r="K353" s="106"/>
    </row>
    <row r="354" ht="43.5" customHeight="1">
      <c r="A354" s="109"/>
      <c r="B354" s="109"/>
      <c r="C354" s="109"/>
      <c r="D354" s="110"/>
      <c r="E354" s="109"/>
      <c r="F354" s="109"/>
      <c r="G354" s="111"/>
      <c r="H354" s="109"/>
      <c r="I354" s="112"/>
      <c r="J354" s="110"/>
      <c r="K354" s="110"/>
    </row>
    <row r="355" ht="43.5" customHeight="1">
      <c r="A355" s="105"/>
      <c r="B355" s="105"/>
      <c r="C355" s="105"/>
      <c r="D355" s="106"/>
      <c r="E355" s="105"/>
      <c r="F355" s="105"/>
      <c r="G355" s="107"/>
      <c r="H355" s="105"/>
      <c r="I355" s="108"/>
      <c r="J355" s="106"/>
      <c r="K355" s="106"/>
    </row>
    <row r="356" ht="43.5" customHeight="1">
      <c r="A356" s="109"/>
      <c r="B356" s="109"/>
      <c r="C356" s="109"/>
      <c r="D356" s="110"/>
      <c r="E356" s="109"/>
      <c r="F356" s="109"/>
      <c r="G356" s="111"/>
      <c r="H356" s="109"/>
      <c r="I356" s="112"/>
      <c r="J356" s="110"/>
      <c r="K356" s="110"/>
    </row>
    <row r="357" ht="43.5" customHeight="1">
      <c r="A357" s="105"/>
      <c r="B357" s="105"/>
      <c r="C357" s="105"/>
      <c r="D357" s="106"/>
      <c r="E357" s="105"/>
      <c r="F357" s="105"/>
      <c r="G357" s="107"/>
      <c r="H357" s="105"/>
      <c r="I357" s="108"/>
      <c r="J357" s="106"/>
      <c r="K357" s="106"/>
    </row>
    <row r="358" ht="43.5" customHeight="1">
      <c r="A358" s="109"/>
      <c r="B358" s="109"/>
      <c r="C358" s="109"/>
      <c r="D358" s="110"/>
      <c r="E358" s="109"/>
      <c r="F358" s="109"/>
      <c r="G358" s="111"/>
      <c r="H358" s="109"/>
      <c r="I358" s="112"/>
      <c r="J358" s="110"/>
      <c r="K358" s="110"/>
    </row>
    <row r="359" ht="43.5" customHeight="1">
      <c r="A359" s="105"/>
      <c r="B359" s="105"/>
      <c r="C359" s="105"/>
      <c r="D359" s="106"/>
      <c r="E359" s="105"/>
      <c r="F359" s="105"/>
      <c r="G359" s="107"/>
      <c r="H359" s="105"/>
      <c r="I359" s="108"/>
      <c r="J359" s="106"/>
      <c r="K359" s="106"/>
    </row>
    <row r="360" ht="43.5" customHeight="1">
      <c r="A360" s="109"/>
      <c r="B360" s="109"/>
      <c r="C360" s="109"/>
      <c r="D360" s="110"/>
      <c r="E360" s="109"/>
      <c r="F360" s="109"/>
      <c r="G360" s="111"/>
      <c r="H360" s="109"/>
      <c r="I360" s="112"/>
      <c r="J360" s="110"/>
      <c r="K360" s="110"/>
    </row>
    <row r="361" ht="43.5" customHeight="1">
      <c r="A361" s="105"/>
      <c r="B361" s="105"/>
      <c r="C361" s="105"/>
      <c r="D361" s="106"/>
      <c r="E361" s="105"/>
      <c r="F361" s="105"/>
      <c r="G361" s="107"/>
      <c r="H361" s="105"/>
      <c r="I361" s="108"/>
      <c r="J361" s="106"/>
      <c r="K361" s="106"/>
    </row>
    <row r="362" ht="43.5" customHeight="1">
      <c r="A362" s="109"/>
      <c r="B362" s="109"/>
      <c r="C362" s="109"/>
      <c r="D362" s="110"/>
      <c r="E362" s="109"/>
      <c r="F362" s="109"/>
      <c r="G362" s="111"/>
      <c r="H362" s="109"/>
      <c r="I362" s="112"/>
      <c r="J362" s="110"/>
      <c r="K362" s="110"/>
    </row>
    <row r="363" ht="43.5" customHeight="1">
      <c r="A363" s="105"/>
      <c r="B363" s="105"/>
      <c r="C363" s="105"/>
      <c r="D363" s="106"/>
      <c r="E363" s="105"/>
      <c r="F363" s="105"/>
      <c r="G363" s="107"/>
      <c r="H363" s="105"/>
      <c r="I363" s="108"/>
      <c r="J363" s="106"/>
      <c r="K363" s="106"/>
    </row>
    <row r="364" ht="43.5" customHeight="1">
      <c r="A364" s="109"/>
      <c r="B364" s="109"/>
      <c r="C364" s="109"/>
      <c r="D364" s="110"/>
      <c r="E364" s="109"/>
      <c r="F364" s="109"/>
      <c r="G364" s="111"/>
      <c r="H364" s="109"/>
      <c r="I364" s="112"/>
      <c r="J364" s="110"/>
      <c r="K364" s="110"/>
    </row>
    <row r="365" ht="43.5" customHeight="1">
      <c r="A365" s="105"/>
      <c r="B365" s="105"/>
      <c r="C365" s="105"/>
      <c r="D365" s="106"/>
      <c r="E365" s="105"/>
      <c r="F365" s="105"/>
      <c r="G365" s="107"/>
      <c r="H365" s="105"/>
      <c r="I365" s="108"/>
      <c r="J365" s="106"/>
      <c r="K365" s="106"/>
    </row>
    <row r="366" ht="43.5" customHeight="1">
      <c r="A366" s="109"/>
      <c r="B366" s="109"/>
      <c r="C366" s="109"/>
      <c r="D366" s="110"/>
      <c r="E366" s="109"/>
      <c r="F366" s="109"/>
      <c r="G366" s="111"/>
      <c r="H366" s="109"/>
      <c r="I366" s="112"/>
      <c r="J366" s="110"/>
      <c r="K366" s="110"/>
    </row>
    <row r="367" ht="43.5" customHeight="1">
      <c r="A367" s="105"/>
      <c r="B367" s="105"/>
      <c r="C367" s="105"/>
      <c r="D367" s="106"/>
      <c r="E367" s="105"/>
      <c r="F367" s="105"/>
      <c r="G367" s="107"/>
      <c r="H367" s="105"/>
      <c r="I367" s="108"/>
      <c r="J367" s="106"/>
      <c r="K367" s="106"/>
    </row>
    <row r="368" ht="43.5" customHeight="1">
      <c r="A368" s="109"/>
      <c r="B368" s="109"/>
      <c r="C368" s="109"/>
      <c r="D368" s="110"/>
      <c r="E368" s="109"/>
      <c r="F368" s="109"/>
      <c r="G368" s="111"/>
      <c r="H368" s="109"/>
      <c r="I368" s="112"/>
      <c r="J368" s="110"/>
      <c r="K368" s="110"/>
    </row>
    <row r="369" ht="43.5" customHeight="1">
      <c r="A369" s="105"/>
      <c r="B369" s="105"/>
      <c r="C369" s="105"/>
      <c r="D369" s="106"/>
      <c r="E369" s="105"/>
      <c r="F369" s="105"/>
      <c r="G369" s="107"/>
      <c r="H369" s="105"/>
      <c r="I369" s="108"/>
      <c r="J369" s="106"/>
      <c r="K369" s="106"/>
    </row>
    <row r="370" ht="43.5" customHeight="1">
      <c r="A370" s="109"/>
      <c r="B370" s="109"/>
      <c r="C370" s="109"/>
      <c r="D370" s="110"/>
      <c r="E370" s="109"/>
      <c r="F370" s="109"/>
      <c r="G370" s="111"/>
      <c r="H370" s="109"/>
      <c r="I370" s="112"/>
      <c r="J370" s="110"/>
      <c r="K370" s="110"/>
    </row>
    <row r="371" ht="43.5" customHeight="1">
      <c r="A371" s="105"/>
      <c r="B371" s="105"/>
      <c r="C371" s="105"/>
      <c r="D371" s="106"/>
      <c r="E371" s="105"/>
      <c r="F371" s="105"/>
      <c r="G371" s="107"/>
      <c r="H371" s="105"/>
      <c r="I371" s="108"/>
      <c r="J371" s="106"/>
      <c r="K371" s="106"/>
    </row>
    <row r="372" ht="43.5" customHeight="1">
      <c r="A372" s="109"/>
      <c r="B372" s="109"/>
      <c r="C372" s="109"/>
      <c r="D372" s="110"/>
      <c r="E372" s="109"/>
      <c r="F372" s="109"/>
      <c r="G372" s="111"/>
      <c r="H372" s="109"/>
      <c r="I372" s="112"/>
      <c r="J372" s="110"/>
      <c r="K372" s="110"/>
    </row>
    <row r="373" ht="43.5" customHeight="1">
      <c r="A373" s="105"/>
      <c r="B373" s="105"/>
      <c r="C373" s="105"/>
      <c r="D373" s="106"/>
      <c r="E373" s="105"/>
      <c r="F373" s="105"/>
      <c r="G373" s="107"/>
      <c r="H373" s="105"/>
      <c r="I373" s="108"/>
      <c r="J373" s="106"/>
      <c r="K373" s="106"/>
    </row>
    <row r="374" ht="43.5" customHeight="1">
      <c r="A374" s="109"/>
      <c r="B374" s="109"/>
      <c r="C374" s="109"/>
      <c r="D374" s="110"/>
      <c r="E374" s="109"/>
      <c r="F374" s="109"/>
      <c r="G374" s="111"/>
      <c r="H374" s="109"/>
      <c r="I374" s="112"/>
      <c r="J374" s="110"/>
      <c r="K374" s="110"/>
    </row>
    <row r="375" ht="43.5" customHeight="1">
      <c r="A375" s="105"/>
      <c r="B375" s="105"/>
      <c r="C375" s="105"/>
      <c r="D375" s="106"/>
      <c r="E375" s="105"/>
      <c r="F375" s="105"/>
      <c r="G375" s="107"/>
      <c r="H375" s="105"/>
      <c r="I375" s="108"/>
      <c r="J375" s="106"/>
      <c r="K375" s="106"/>
    </row>
    <row r="376" ht="43.5" customHeight="1">
      <c r="A376" s="109"/>
      <c r="B376" s="109"/>
      <c r="C376" s="109"/>
      <c r="D376" s="110"/>
      <c r="E376" s="109"/>
      <c r="F376" s="109"/>
      <c r="G376" s="111"/>
      <c r="H376" s="109"/>
      <c r="I376" s="112"/>
      <c r="J376" s="110"/>
      <c r="K376" s="110"/>
    </row>
    <row r="377" ht="43.5" customHeight="1">
      <c r="A377" s="105"/>
      <c r="B377" s="105"/>
      <c r="C377" s="105"/>
      <c r="D377" s="106"/>
      <c r="E377" s="105"/>
      <c r="F377" s="105"/>
      <c r="G377" s="107"/>
      <c r="H377" s="105"/>
      <c r="I377" s="108"/>
      <c r="J377" s="106"/>
      <c r="K377" s="106"/>
    </row>
    <row r="378" ht="43.5" customHeight="1">
      <c r="A378" s="109"/>
      <c r="B378" s="109"/>
      <c r="C378" s="109"/>
      <c r="D378" s="110"/>
      <c r="E378" s="109"/>
      <c r="F378" s="109"/>
      <c r="G378" s="111"/>
      <c r="H378" s="109"/>
      <c r="I378" s="112"/>
      <c r="J378" s="110"/>
      <c r="K378" s="110"/>
    </row>
    <row r="379" ht="43.5" customHeight="1">
      <c r="A379" s="105"/>
      <c r="B379" s="105"/>
      <c r="C379" s="105"/>
      <c r="D379" s="106"/>
      <c r="E379" s="105"/>
      <c r="F379" s="105"/>
      <c r="G379" s="107"/>
      <c r="H379" s="105"/>
      <c r="I379" s="108"/>
      <c r="J379" s="106"/>
      <c r="K379" s="106"/>
    </row>
    <row r="380" ht="43.5" customHeight="1">
      <c r="A380" s="109"/>
      <c r="B380" s="109"/>
      <c r="C380" s="109"/>
      <c r="D380" s="110"/>
      <c r="E380" s="109"/>
      <c r="F380" s="109"/>
      <c r="G380" s="111"/>
      <c r="H380" s="109"/>
      <c r="I380" s="112"/>
      <c r="J380" s="110"/>
      <c r="K380" s="110"/>
    </row>
    <row r="381" ht="43.5" customHeight="1">
      <c r="A381" s="105"/>
      <c r="B381" s="105"/>
      <c r="C381" s="105"/>
      <c r="D381" s="106"/>
      <c r="E381" s="105"/>
      <c r="F381" s="105"/>
      <c r="G381" s="107"/>
      <c r="H381" s="105"/>
      <c r="I381" s="108"/>
      <c r="J381" s="106"/>
      <c r="K381" s="106"/>
    </row>
    <row r="382" ht="43.5" customHeight="1">
      <c r="A382" s="109"/>
      <c r="B382" s="109"/>
      <c r="C382" s="109"/>
      <c r="D382" s="110"/>
      <c r="E382" s="109"/>
      <c r="F382" s="109"/>
      <c r="G382" s="111"/>
      <c r="H382" s="109"/>
      <c r="I382" s="112"/>
      <c r="J382" s="110"/>
      <c r="K382" s="110"/>
    </row>
    <row r="383" ht="43.5" customHeight="1">
      <c r="A383" s="105"/>
      <c r="B383" s="105"/>
      <c r="C383" s="105"/>
      <c r="D383" s="106"/>
      <c r="E383" s="105"/>
      <c r="F383" s="105"/>
      <c r="G383" s="107"/>
      <c r="H383" s="105"/>
      <c r="I383" s="108"/>
      <c r="J383" s="106"/>
      <c r="K383" s="106"/>
    </row>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6:$K$7"/>
  <mergeCells count="5">
    <mergeCell ref="C2:D2"/>
    <mergeCell ref="E2:G2"/>
    <mergeCell ref="C3:D3"/>
    <mergeCell ref="E3:G3"/>
    <mergeCell ref="A5:K5"/>
  </mergeCells>
  <printOptions gridLines="1" horizontalCentered="1"/>
  <pageMargins bottom="0.75" footer="0.0" header="0.0" left="0.7" right="0.7" top="0.75"/>
  <pageSetup fitToHeight="0" paperSize="9"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19.13"/>
    <col customWidth="1" min="2" max="2" width="29.25"/>
    <col customWidth="1" min="3" max="4" width="19.75"/>
    <col customWidth="1" min="5" max="5" width="20.13"/>
    <col customWidth="1" min="6" max="6" width="11.38"/>
    <col customWidth="1" min="7" max="7" width="12.25"/>
    <col customWidth="1" min="8" max="8" width="8.5"/>
    <col customWidth="1" min="9" max="9" width="7.25"/>
    <col customWidth="1" min="10" max="10" width="14.25"/>
    <col customWidth="1" min="11" max="11" width="29.88"/>
  </cols>
  <sheetData>
    <row r="1">
      <c r="A1" s="7"/>
      <c r="B1" s="7"/>
      <c r="C1" s="7"/>
      <c r="D1" s="8"/>
      <c r="E1" s="10"/>
      <c r="F1" s="10"/>
      <c r="G1" s="10"/>
      <c r="H1" s="10"/>
      <c r="I1" s="10"/>
      <c r="J1" s="7"/>
      <c r="K1" s="8"/>
    </row>
    <row r="2">
      <c r="A2" s="7"/>
      <c r="B2" s="7"/>
      <c r="C2" s="13" t="s">
        <v>2</v>
      </c>
      <c r="D2" s="16"/>
      <c r="E2" s="18" t="s">
        <v>5</v>
      </c>
      <c r="F2" s="19"/>
      <c r="G2" s="20"/>
      <c r="H2" s="7"/>
      <c r="I2" s="10"/>
      <c r="J2" s="7"/>
      <c r="K2" s="8"/>
    </row>
    <row r="3">
      <c r="A3" s="7"/>
      <c r="B3" s="7"/>
      <c r="C3" s="13" t="s">
        <v>6</v>
      </c>
      <c r="D3" s="16"/>
      <c r="E3" s="18" t="s">
        <v>7</v>
      </c>
      <c r="F3" s="19"/>
      <c r="G3" s="20"/>
      <c r="H3" s="7"/>
      <c r="I3" s="10"/>
      <c r="J3" s="7"/>
      <c r="K3" s="8"/>
    </row>
    <row r="4">
      <c r="A4" s="7"/>
      <c r="B4" s="7"/>
      <c r="C4" s="7"/>
      <c r="D4" s="10"/>
      <c r="E4" s="10"/>
      <c r="F4" s="10"/>
      <c r="G4" s="10"/>
      <c r="H4" s="10"/>
      <c r="I4" s="10"/>
      <c r="J4" s="33">
        <f>SUBTOTAL(109, J7:J542)</f>
        <v>35861970.52</v>
      </c>
      <c r="K4" s="8"/>
    </row>
    <row r="5">
      <c r="A5" s="123" t="s">
        <v>158</v>
      </c>
      <c r="B5" s="19"/>
      <c r="C5" s="19"/>
      <c r="D5" s="19"/>
      <c r="E5" s="19"/>
      <c r="F5" s="19"/>
      <c r="G5" s="19"/>
      <c r="H5" s="19"/>
      <c r="I5" s="19"/>
      <c r="J5" s="19"/>
      <c r="K5" s="20"/>
    </row>
    <row r="6" ht="45.0" customHeight="1">
      <c r="A6" s="124" t="s">
        <v>32</v>
      </c>
      <c r="B6" s="124" t="str">
        <f>IFERROR(__xludf.DUMMYFUNCTION("QUERY('PCA 2026 - SEM PREVISÃO'!A11:AZ542, ""SELECT R, I, MAX(B), MAX(L), MAX(G), MAX(H), MAX(D), SUM(E), SUM(F), MAX(M) WHERE R IS NOT NULL GROUP BY R, I LABEL MAX(B) 'Setor Demandante', MAX(L) 'Fonte de Recursos', MAX(G) 'Tipo de Contratação', MAX(H) 'P"&amp;"revisão da aquisição', MAX(D) 'Unid. Medida', SUM(E) 'Qtd total estimada', SUM(F) 'Estimativa preliminar de valor', MAX(M) 'Agente de Contratação'"")"),"LINHA DO PCA")</f>
        <v>LINHA DO PCA</v>
      </c>
      <c r="C6" s="124" t="str">
        <f>IFERROR(__xludf.DUMMYFUNCTION("""COMPUTED_VALUE"""),"Classificação orçamentária")</f>
        <v>Classificação orçamentária</v>
      </c>
      <c r="D6" s="124" t="str">
        <f>IFERROR(__xludf.DUMMYFUNCTION("""COMPUTED_VALUE"""),"Setor Demandante")</f>
        <v>Setor Demandante</v>
      </c>
      <c r="E6" s="124" t="str">
        <f>IFERROR(__xludf.DUMMYFUNCTION("""COMPUTED_VALUE"""),"Fonte de Recursos")</f>
        <v>Fonte de Recursos</v>
      </c>
      <c r="F6" s="124" t="str">
        <f>IFERROR(__xludf.DUMMYFUNCTION("""COMPUTED_VALUE"""),"Tipo de Contratação")</f>
        <v>Tipo de Contratação</v>
      </c>
      <c r="G6" s="124" t="str">
        <f>IFERROR(__xludf.DUMMYFUNCTION("""COMPUTED_VALUE"""),"Previsão da aquisição")</f>
        <v>Previsão da aquisição</v>
      </c>
      <c r="H6" s="124" t="str">
        <f>IFERROR(__xludf.DUMMYFUNCTION("""COMPUTED_VALUE"""),"Unid. Medida")</f>
        <v>Unid. Medida</v>
      </c>
      <c r="I6" s="124" t="str">
        <f>IFERROR(__xludf.DUMMYFUNCTION("""COMPUTED_VALUE"""),"Qtd total estimada")</f>
        <v>Qtd total estimada</v>
      </c>
      <c r="J6" s="124" t="str">
        <f>IFERROR(__xludf.DUMMYFUNCTION("""COMPUTED_VALUE"""),"Estimativa preliminar de valor")</f>
        <v>Estimativa preliminar de valor</v>
      </c>
      <c r="K6" s="124" t="str">
        <f>IFERROR(__xludf.DUMMYFUNCTION("""COMPUTED_VALUE"""),"Agente de Contratação")</f>
        <v>Agente de Contratação</v>
      </c>
    </row>
    <row r="7" ht="43.5" customHeight="1">
      <c r="A7" s="125" t="s">
        <v>20</v>
      </c>
      <c r="B7" s="125" t="str">
        <f>IFERROR(__xludf.DUMMYFUNCTION("""COMPUTED_VALUE"""),"Aeronaves")</f>
        <v>Aeronaves</v>
      </c>
      <c r="C7" s="125" t="str">
        <f>IFERROR(__xludf.DUMMYFUNCTION("""COMPUTED_VALUE"""),"4 - INVESTIMENTOS")</f>
        <v>4 - INVESTIMENTOS</v>
      </c>
      <c r="D7" s="126" t="str">
        <f>IFERROR(__xludf.DUMMYFUNCTION("""COMPUTED_VALUE"""),"PERÍCIA")</f>
        <v>PERÍCIA</v>
      </c>
      <c r="E7" s="125" t="str">
        <f>IFERROR(__xludf.DUMMYFUNCTION("""COMPUTED_VALUE"""),"RECURSOS VINCULADOS DO TESOURO")</f>
        <v>RECURSOS VINCULADOS DO TESOURO</v>
      </c>
      <c r="F7" s="125" t="str">
        <f>IFERROR(__xludf.DUMMYFUNCTION("""COMPUTED_VALUE"""),"NOVA")</f>
        <v>NOVA</v>
      </c>
      <c r="G7" s="127">
        <f>IFERROR(__xludf.DUMMYFUNCTION("""COMPUTED_VALUE"""),46266.0)</f>
        <v>46266</v>
      </c>
      <c r="H7" s="125" t="str">
        <f>IFERROR(__xludf.DUMMYFUNCTION("""COMPUTED_VALUE"""),"UN")</f>
        <v>UN</v>
      </c>
      <c r="I7" s="128">
        <f>IFERROR(__xludf.DUMMYFUNCTION("""COMPUTED_VALUE"""),4.0)</f>
        <v>4</v>
      </c>
      <c r="J7" s="126">
        <f>IFERROR(__xludf.DUMMYFUNCTION("""COMPUTED_VALUE"""),810000.0)</f>
        <v>810000</v>
      </c>
      <c r="K7" s="126" t="str">
        <f>IFERROR(__xludf.DUMMYFUNCTION("""COMPUTED_VALUE"""),"CAP CAVACHINI/CAP SHULZ/TEN BOREL/TEN SONALY/GIULIANE")</f>
        <v>CAP CAVACHINI/CAP SHULZ/TEN BOREL/TEN SONALY/GIULIANE</v>
      </c>
    </row>
    <row r="8" ht="43.5" customHeight="1">
      <c r="A8" s="125" t="s">
        <v>20</v>
      </c>
      <c r="B8" s="125" t="str">
        <f>IFERROR(__xludf.DUMMYFUNCTION("""COMPUTED_VALUE"""),"Aparelhos e Utensílios Domésticos")</f>
        <v>Aparelhos e Utensílios Domésticos</v>
      </c>
      <c r="C8" s="125" t="str">
        <f>IFERROR(__xludf.DUMMYFUNCTION("""COMPUTED_VALUE"""),"4 - INVESTIMENTOS")</f>
        <v>4 - INVESTIMENTOS</v>
      </c>
      <c r="D8" s="126" t="str">
        <f>IFERROR(__xludf.DUMMYFUNCTION("""COMPUTED_VALUE"""),"PREFEITURA DEPMAT")</f>
        <v>PREFEITURA DEPMAT</v>
      </c>
      <c r="E8" s="125" t="str">
        <f>IFERROR(__xludf.DUMMYFUNCTION("""COMPUTED_VALUE"""),"RECURSOS VINCULADOS DO TESOURO")</f>
        <v>RECURSOS VINCULADOS DO TESOURO</v>
      </c>
      <c r="F8" s="125" t="str">
        <f>IFERROR(__xludf.DUMMYFUNCTION("""COMPUTED_VALUE"""),"NOVA")</f>
        <v>NOVA</v>
      </c>
      <c r="G8" s="127">
        <f>IFERROR(__xludf.DUMMYFUNCTION("""COMPUTED_VALUE"""),46235.0)</f>
        <v>46235</v>
      </c>
      <c r="H8" s="125" t="str">
        <f>IFERROR(__xludf.DUMMYFUNCTION("""COMPUTED_VALUE"""),"UN")</f>
        <v>UN</v>
      </c>
      <c r="I8" s="128">
        <f>IFERROR(__xludf.DUMMYFUNCTION("""COMPUTED_VALUE"""),88.0)</f>
        <v>88</v>
      </c>
      <c r="J8" s="126">
        <f>IFERROR(__xludf.DUMMYFUNCTION("""COMPUTED_VALUE"""),145601.0)</f>
        <v>145601</v>
      </c>
      <c r="K8" s="126" t="str">
        <f>IFERROR(__xludf.DUMMYFUNCTION("""COMPUTED_VALUE"""),"CAP CAVACHINI/CAP SHULZ/TEN BOREL/TEN SONALY/GIULIANE")</f>
        <v>CAP CAVACHINI/CAP SHULZ/TEN BOREL/TEN SONALY/GIULIANE</v>
      </c>
    </row>
    <row r="9" ht="43.5" customHeight="1">
      <c r="A9" s="125" t="s">
        <v>20</v>
      </c>
      <c r="B9" s="125" t="str">
        <f>IFERROR(__xludf.DUMMYFUNCTION("""COMPUTED_VALUE"""),"Aquisição de Frota para o CBMES")</f>
        <v>Aquisição de Frota para o CBMES</v>
      </c>
      <c r="C9" s="125" t="str">
        <f>IFERROR(__xludf.DUMMYFUNCTION("""COMPUTED_VALUE"""),"4 - INVESTIMENTOS")</f>
        <v>4 - INVESTIMENTOS</v>
      </c>
      <c r="D9" s="126" t="str">
        <f>IFERROR(__xludf.DUMMYFUNCTION("""COMPUTED_VALUE"""),"DOP")</f>
        <v>DOP</v>
      </c>
      <c r="E9" s="125" t="str">
        <f>IFERROR(__xludf.DUMMYFUNCTION("""COMPUTED_VALUE"""),"RECURSOS VINCULADOS DO TESOURO")</f>
        <v>RECURSOS VINCULADOS DO TESOURO</v>
      </c>
      <c r="F9" s="125" t="str">
        <f>IFERROR(__xludf.DUMMYFUNCTION("""COMPUTED_VALUE"""),"NOVA")</f>
        <v>NOVA</v>
      </c>
      <c r="G9" s="127">
        <f>IFERROR(__xludf.DUMMYFUNCTION("""COMPUTED_VALUE"""),46266.0)</f>
        <v>46266</v>
      </c>
      <c r="H9" s="125" t="str">
        <f>IFERROR(__xludf.DUMMYFUNCTION("""COMPUTED_VALUE"""),"UN")</f>
        <v>UN</v>
      </c>
      <c r="I9" s="128">
        <f>IFERROR(__xludf.DUMMYFUNCTION("""COMPUTED_VALUE"""),24.0)</f>
        <v>24</v>
      </c>
      <c r="J9" s="126">
        <f>IFERROR(__xludf.DUMMYFUNCTION("""COMPUTED_VALUE"""),1.794E7)</f>
        <v>17940000</v>
      </c>
      <c r="K9" s="126" t="str">
        <f>IFERROR(__xludf.DUMMYFUNCTION("""COMPUTED_VALUE"""),"CAP CAVACHINI/CAP SHULZ/TEN BOREL/TEN SONALY/GIULIANE")</f>
        <v>CAP CAVACHINI/CAP SHULZ/TEN BOREL/TEN SONALY/GIULIANE</v>
      </c>
    </row>
    <row r="10" ht="43.5" customHeight="1">
      <c r="A10" s="125" t="s">
        <v>20</v>
      </c>
      <c r="B10" s="125" t="str">
        <f>IFERROR(__xludf.DUMMYFUNCTION("""COMPUTED_VALUE"""),"Bandeiras, Flâmulas e Insígnias ")</f>
        <v>Bandeiras, Flâmulas e Insígnias </v>
      </c>
      <c r="C10" s="125" t="str">
        <f>IFERROR(__xludf.DUMMYFUNCTION("""COMPUTED_VALUE"""),"3 - OUTRAS DESPESAS CORRENTES")</f>
        <v>3 - OUTRAS DESPESAS CORRENTES</v>
      </c>
      <c r="D10" s="126" t="str">
        <f>IFERROR(__xludf.DUMMYFUNCTION("""COMPUTED_VALUE"""),"AJUDÂNCIA")</f>
        <v>AJUDÂNCIA</v>
      </c>
      <c r="E10" s="125" t="str">
        <f>IFERROR(__xludf.DUMMYFUNCTION("""COMPUTED_VALUE"""),"RECURSOS DE CAIXA DO TESOURO")</f>
        <v>RECURSOS DE CAIXA DO TESOURO</v>
      </c>
      <c r="F10" s="125" t="str">
        <f>IFERROR(__xludf.DUMMYFUNCTION("""COMPUTED_VALUE"""),"NOVA")</f>
        <v>NOVA</v>
      </c>
      <c r="G10" s="127">
        <f>IFERROR(__xludf.DUMMYFUNCTION("""COMPUTED_VALUE"""),46234.0)</f>
        <v>46234</v>
      </c>
      <c r="H10" s="125" t="str">
        <f>IFERROR(__xludf.DUMMYFUNCTION("""COMPUTED_VALUE"""),"UN")</f>
        <v>UN</v>
      </c>
      <c r="I10" s="128">
        <f>IFERROR(__xludf.DUMMYFUNCTION("""COMPUTED_VALUE"""),2.0)</f>
        <v>2</v>
      </c>
      <c r="J10" s="126">
        <f>IFERROR(__xludf.DUMMYFUNCTION("""COMPUTED_VALUE"""),21000.0)</f>
        <v>21000</v>
      </c>
      <c r="K10" s="126" t="str">
        <f>IFERROR(__xludf.DUMMYFUNCTION("""COMPUTED_VALUE"""),"1º TEN QOABM BRUNO DA SILVA BOREL, NF 903246")</f>
        <v>1º TEN QOABM BRUNO DA SILVA BOREL, NF 903246</v>
      </c>
    </row>
    <row r="11" ht="43.5" customHeight="1">
      <c r="A11" s="125" t="s">
        <v>20</v>
      </c>
      <c r="B11" s="125" t="str">
        <f>IFERROR(__xludf.DUMMYFUNCTION("""COMPUTED_VALUE"""),"Cursos e Diárias")</f>
        <v>Cursos e Diárias</v>
      </c>
      <c r="C11" s="125" t="str">
        <f>IFERROR(__xludf.DUMMYFUNCTION("""COMPUTED_VALUE"""),"3 - OUTRAS DESPESAS CORRENTES")</f>
        <v>3 - OUTRAS DESPESAS CORRENTES</v>
      </c>
      <c r="D11" s="126" t="str">
        <f>IFERROR(__xludf.DUMMYFUNCTION("""COMPUTED_VALUE"""),"PERÍCIA")</f>
        <v>PERÍCIA</v>
      </c>
      <c r="E11" s="125" t="str">
        <f>IFERROR(__xludf.DUMMYFUNCTION("""COMPUTED_VALUE"""),"RECURSOS VINCULADOS DO TESOURO")</f>
        <v>RECURSOS VINCULADOS DO TESOURO</v>
      </c>
      <c r="F11" s="125" t="str">
        <f>IFERROR(__xludf.DUMMYFUNCTION("""COMPUTED_VALUE"""),"NOVA")</f>
        <v>NOVA</v>
      </c>
      <c r="G11" s="127">
        <f>IFERROR(__xludf.DUMMYFUNCTION("""COMPUTED_VALUE"""),46266.0)</f>
        <v>46266</v>
      </c>
      <c r="H11" s="125" t="str">
        <f>IFERROR(__xludf.DUMMYFUNCTION("""COMPUTED_VALUE"""),"UN")</f>
        <v>UN</v>
      </c>
      <c r="I11" s="128">
        <f>IFERROR(__xludf.DUMMYFUNCTION("""COMPUTED_VALUE"""),26.0)</f>
        <v>26</v>
      </c>
      <c r="J11" s="126">
        <f>IFERROR(__xludf.DUMMYFUNCTION("""COMPUTED_VALUE"""),320240.0)</f>
        <v>320240</v>
      </c>
      <c r="K11" s="126" t="str">
        <f>IFERROR(__xludf.DUMMYFUNCTION("""COMPUTED_VALUE"""),"CAP CAVACHINI/CAP SHULZ/TEN BOREL/TEN SONALY/GIULIANE")</f>
        <v>CAP CAVACHINI/CAP SHULZ/TEN BOREL/TEN SONALY/GIULIANE</v>
      </c>
    </row>
    <row r="12" ht="43.5" customHeight="1">
      <c r="A12" s="125" t="s">
        <v>20</v>
      </c>
      <c r="B12" s="125" t="str">
        <f>IFERROR(__xludf.DUMMYFUNCTION("""COMPUTED_VALUE"""),"Edificações")</f>
        <v>Edificações</v>
      </c>
      <c r="C12" s="125" t="str">
        <f>IFERROR(__xludf.DUMMYFUNCTION("""COMPUTED_VALUE"""),"4 - INVESTIMENTOS")</f>
        <v>4 - INVESTIMENTOS</v>
      </c>
      <c r="D12" s="126" t="str">
        <f>IFERROR(__xludf.DUMMYFUNCTION("""COMPUTED_VALUE"""),"GEA 2026")</f>
        <v>GEA 2026</v>
      </c>
      <c r="E12" s="125" t="str">
        <f>IFERROR(__xludf.DUMMYFUNCTION("""COMPUTED_VALUE"""),"RECURSOS VINCULADOS DO TESOURO")</f>
        <v>RECURSOS VINCULADOS DO TESOURO</v>
      </c>
      <c r="F12" s="125" t="str">
        <f>IFERROR(__xludf.DUMMYFUNCTION("""COMPUTED_VALUE"""),"NOVA")</f>
        <v>NOVA</v>
      </c>
      <c r="G12" s="127">
        <f>IFERROR(__xludf.DUMMYFUNCTION("""COMPUTED_VALUE"""),46266.0)</f>
        <v>46266</v>
      </c>
      <c r="H12" s="125" t="str">
        <f>IFERROR(__xludf.DUMMYFUNCTION("""COMPUTED_VALUE"""),"UN")</f>
        <v>UN</v>
      </c>
      <c r="I12" s="128">
        <f>IFERROR(__xludf.DUMMYFUNCTION("""COMPUTED_VALUE"""),2.0)</f>
        <v>2</v>
      </c>
      <c r="J12" s="126">
        <f>IFERROR(__xludf.DUMMYFUNCTION("""COMPUTED_VALUE"""),940000.0)</f>
        <v>940000</v>
      </c>
      <c r="K12" s="126" t="str">
        <f>IFERROR(__xludf.DUMMYFUNCTION("""COMPUTED_VALUE"""),"CAP CAVACHINI/CAP SHULZ/TEN BOREL/TEN SONALY/GIULIANE")</f>
        <v>CAP CAVACHINI/CAP SHULZ/TEN BOREL/TEN SONALY/GIULIANE</v>
      </c>
    </row>
    <row r="13" ht="43.5" customHeight="1">
      <c r="A13" s="125" t="s">
        <v>20</v>
      </c>
      <c r="B13" s="125" t="str">
        <f>IFERROR(__xludf.DUMMYFUNCTION("""COMPUTED_VALUE"""),"Equipamento de Proteção, Segurança e Socorro")</f>
        <v>Equipamento de Proteção, Segurança e Socorro</v>
      </c>
      <c r="C13" s="125" t="str">
        <f>IFERROR(__xludf.DUMMYFUNCTION("""COMPUTED_VALUE"""),"3 - OUTRAS DESPESAS CORRENTES")</f>
        <v>3 - OUTRAS DESPESAS CORRENTES</v>
      </c>
      <c r="D13" s="126" t="str">
        <f>IFERROR(__xludf.DUMMYFUNCTION("""COMPUTED_VALUE"""),"PERÍCIA")</f>
        <v>PERÍCIA</v>
      </c>
      <c r="E13" s="125" t="str">
        <f>IFERROR(__xludf.DUMMYFUNCTION("""COMPUTED_VALUE"""),"RECURSOS VINCULADOS DO TESOURO")</f>
        <v>RECURSOS VINCULADOS DO TESOURO</v>
      </c>
      <c r="F13" s="125" t="str">
        <f>IFERROR(__xludf.DUMMYFUNCTION("""COMPUTED_VALUE"""),"NOVA")</f>
        <v>NOVA</v>
      </c>
      <c r="G13" s="127">
        <f>IFERROR(__xludf.DUMMYFUNCTION("""COMPUTED_VALUE"""),46266.0)</f>
        <v>46266</v>
      </c>
      <c r="H13" s="125" t="str">
        <f>IFERROR(__xludf.DUMMYFUNCTION("""COMPUTED_VALUE"""),"UN")</f>
        <v>UN</v>
      </c>
      <c r="I13" s="128">
        <f>IFERROR(__xludf.DUMMYFUNCTION("""COMPUTED_VALUE"""),2.0)</f>
        <v>2</v>
      </c>
      <c r="J13" s="126">
        <f>IFERROR(__xludf.DUMMYFUNCTION("""COMPUTED_VALUE"""),80000.0)</f>
        <v>80000</v>
      </c>
      <c r="K13" s="126" t="str">
        <f>IFERROR(__xludf.DUMMYFUNCTION("""COMPUTED_VALUE"""),"CAP CAVACHINI/CAP SHULZ/TEN BOREL/TEN SONALY/GIULIANE")</f>
        <v>CAP CAVACHINI/CAP SHULZ/TEN BOREL/TEN SONALY/GIULIANE</v>
      </c>
    </row>
    <row r="14" ht="43.5" customHeight="1">
      <c r="A14" s="125" t="s">
        <v>20</v>
      </c>
      <c r="B14" s="125" t="str">
        <f>IFERROR(__xludf.DUMMYFUNCTION("""COMPUTED_VALUE"""),"Equipamento de Proteção, Segurança e Socorro")</f>
        <v>Equipamento de Proteção, Segurança e Socorro</v>
      </c>
      <c r="C14" s="125" t="str">
        <f>IFERROR(__xludf.DUMMYFUNCTION("""COMPUTED_VALUE"""),"4 - INVESTIMENTOS")</f>
        <v>4 - INVESTIMENTOS</v>
      </c>
      <c r="D14" s="126" t="str">
        <f>IFERROR(__xludf.DUMMYFUNCTION("""COMPUTED_VALUE"""),"PERÍCIA")</f>
        <v>PERÍCIA</v>
      </c>
      <c r="E14" s="125" t="str">
        <f>IFERROR(__xludf.DUMMYFUNCTION("""COMPUTED_VALUE"""),"RECURSOS VINCULADOS DO TESOURO")</f>
        <v>RECURSOS VINCULADOS DO TESOURO</v>
      </c>
      <c r="F14" s="125" t="str">
        <f>IFERROR(__xludf.DUMMYFUNCTION("""COMPUTED_VALUE"""),"NOVA")</f>
        <v>NOVA</v>
      </c>
      <c r="G14" s="127">
        <f>IFERROR(__xludf.DUMMYFUNCTION("""COMPUTED_VALUE"""),46266.0)</f>
        <v>46266</v>
      </c>
      <c r="H14" s="125" t="str">
        <f>IFERROR(__xludf.DUMMYFUNCTION("""COMPUTED_VALUE"""),"kit")</f>
        <v>kit</v>
      </c>
      <c r="I14" s="128">
        <f>IFERROR(__xludf.DUMMYFUNCTION("""COMPUTED_VALUE"""),404.0)</f>
        <v>404</v>
      </c>
      <c r="J14" s="126">
        <f>IFERROR(__xludf.DUMMYFUNCTION("""COMPUTED_VALUE"""),4357026.4)</f>
        <v>4357026.4</v>
      </c>
      <c r="K14" s="126" t="str">
        <f>IFERROR(__xludf.DUMMYFUNCTION("""COMPUTED_VALUE"""),"MAJ QOCBM MARCIO DA COSTA CAVACHINI, NF 2758512")</f>
        <v>MAJ QOCBM MARCIO DA COSTA CAVACHINI, NF 2758512</v>
      </c>
    </row>
    <row r="15" ht="43.5" customHeight="1">
      <c r="A15" s="125" t="s">
        <v>20</v>
      </c>
      <c r="B15" s="125" t="str">
        <f>IFERROR(__xludf.DUMMYFUNCTION("""COMPUTED_VALUE"""),"Equipamentos Para Áudio, Vídeo e Foto")</f>
        <v>Equipamentos Para Áudio, Vídeo e Foto</v>
      </c>
      <c r="C15" s="125" t="str">
        <f>IFERROR(__xludf.DUMMYFUNCTION("""COMPUTED_VALUE"""),"4 - INVESTIMENTOS")</f>
        <v>4 - INVESTIMENTOS</v>
      </c>
      <c r="D15" s="126" t="str">
        <f>IFERROR(__xludf.DUMMYFUNCTION("""COMPUTED_VALUE"""),"PREFEITURA DEPMAT")</f>
        <v>PREFEITURA DEPMAT</v>
      </c>
      <c r="E15" s="125" t="str">
        <f>IFERROR(__xludf.DUMMYFUNCTION("""COMPUTED_VALUE"""),"RECURSOS VINCULADOS DO TESOURO")</f>
        <v>RECURSOS VINCULADOS DO TESOURO</v>
      </c>
      <c r="F15" s="125" t="str">
        <f>IFERROR(__xludf.DUMMYFUNCTION("""COMPUTED_VALUE"""),"NOVA")</f>
        <v>NOVA</v>
      </c>
      <c r="G15" s="127">
        <f>IFERROR(__xludf.DUMMYFUNCTION("""COMPUTED_VALUE"""),46235.0)</f>
        <v>46235</v>
      </c>
      <c r="H15" s="125" t="str">
        <f>IFERROR(__xludf.DUMMYFUNCTION("""COMPUTED_VALUE"""),"UN")</f>
        <v>UN</v>
      </c>
      <c r="I15" s="128">
        <f>IFERROR(__xludf.DUMMYFUNCTION("""COMPUTED_VALUE"""),32.0)</f>
        <v>32</v>
      </c>
      <c r="J15" s="126">
        <f>IFERROR(__xludf.DUMMYFUNCTION("""COMPUTED_VALUE"""),62079.0)</f>
        <v>62079</v>
      </c>
      <c r="K15" s="126" t="str">
        <f>IFERROR(__xludf.DUMMYFUNCTION("""COMPUTED_VALUE"""),"CAP CAVACHINI/CAP SHULZ/TEN BOREL/TEN SONALY/GIULIANE")</f>
        <v>CAP CAVACHINI/CAP SHULZ/TEN BOREL/TEN SONALY/GIULIANE</v>
      </c>
    </row>
    <row r="16" ht="43.5" customHeight="1">
      <c r="A16" s="125" t="s">
        <v>20</v>
      </c>
      <c r="B16" s="125" t="str">
        <f>IFERROR(__xludf.DUMMYFUNCTION("""COMPUTED_VALUE"""),"Equipamentos e Utensílios Hidráulicos e Elétricos")</f>
        <v>Equipamentos e Utensílios Hidráulicos e Elétricos</v>
      </c>
      <c r="C16" s="125" t="str">
        <f>IFERROR(__xludf.DUMMYFUNCTION("""COMPUTED_VALUE"""),"4 - INVESTIMENTOS")</f>
        <v>4 - INVESTIMENTOS</v>
      </c>
      <c r="D16" s="126" t="str">
        <f>IFERROR(__xludf.DUMMYFUNCTION("""COMPUTED_VALUE"""),"PREFEITURA DAL")</f>
        <v>PREFEITURA DAL</v>
      </c>
      <c r="E16" s="125" t="str">
        <f>IFERROR(__xludf.DUMMYFUNCTION("""COMPUTED_VALUE"""),"RECURSOS VINCULADOS DO TESOURO")</f>
        <v>RECURSOS VINCULADOS DO TESOURO</v>
      </c>
      <c r="F16" s="125" t="str">
        <f>IFERROR(__xludf.DUMMYFUNCTION("""COMPUTED_VALUE"""),"NOVA")</f>
        <v>NOVA</v>
      </c>
      <c r="G16" s="127">
        <f>IFERROR(__xludf.DUMMYFUNCTION("""COMPUTED_VALUE"""),46266.0)</f>
        <v>46266</v>
      </c>
      <c r="H16" s="125" t="str">
        <f>IFERROR(__xludf.DUMMYFUNCTION("""COMPUTED_VALUE"""),"UN")</f>
        <v>UN</v>
      </c>
      <c r="I16" s="128">
        <f>IFERROR(__xludf.DUMMYFUNCTION("""COMPUTED_VALUE"""),21.0)</f>
        <v>21</v>
      </c>
      <c r="J16" s="126">
        <f>IFERROR(__xludf.DUMMYFUNCTION("""COMPUTED_VALUE"""),198400.0)</f>
        <v>198400</v>
      </c>
      <c r="K16" s="126" t="str">
        <f>IFERROR(__xludf.DUMMYFUNCTION("""COMPUTED_VALUE"""),"SERVIDORA CIVIL GIULIANE MOREIRA, NF 3031942;")</f>
        <v>SERVIDORA CIVIL GIULIANE MOREIRA, NF 3031942;</v>
      </c>
    </row>
    <row r="17" ht="43.5" customHeight="1">
      <c r="A17" s="125" t="s">
        <v>20</v>
      </c>
      <c r="B17" s="125" t="str">
        <f>IFERROR(__xludf.DUMMYFUNCTION("""COMPUTED_VALUE"""),"Equipamentos para Veículos ")</f>
        <v>Equipamentos para Veículos </v>
      </c>
      <c r="C17" s="125" t="str">
        <f>IFERROR(__xludf.DUMMYFUNCTION("""COMPUTED_VALUE"""),"4 - INVESTIMENTOS")</f>
        <v>4 - INVESTIMENTOS</v>
      </c>
      <c r="D17" s="126" t="str">
        <f>IFERROR(__xludf.DUMMYFUNCTION("""COMPUTED_VALUE"""),"DEPMAT 2026")</f>
        <v>DEPMAT 2026</v>
      </c>
      <c r="E17" s="125" t="str">
        <f>IFERROR(__xludf.DUMMYFUNCTION("""COMPUTED_VALUE"""),"RECURSOS VINCULADOS DO TESOURO")</f>
        <v>RECURSOS VINCULADOS DO TESOURO</v>
      </c>
      <c r="F17" s="125" t="str">
        <f>IFERROR(__xludf.DUMMYFUNCTION("""COMPUTED_VALUE"""),"NOVA")</f>
        <v>NOVA</v>
      </c>
      <c r="G17" s="127">
        <f>IFERROR(__xludf.DUMMYFUNCTION("""COMPUTED_VALUE"""),46266.0)</f>
        <v>46266</v>
      </c>
      <c r="H17" s="125" t="str">
        <f>IFERROR(__xludf.DUMMYFUNCTION("""COMPUTED_VALUE"""),"UN")</f>
        <v>UN</v>
      </c>
      <c r="I17" s="128">
        <f>IFERROR(__xludf.DUMMYFUNCTION("""COMPUTED_VALUE"""),15.0)</f>
        <v>15</v>
      </c>
      <c r="J17" s="126">
        <f>IFERROR(__xludf.DUMMYFUNCTION("""COMPUTED_VALUE"""),97500.0)</f>
        <v>97500</v>
      </c>
      <c r="K17" s="126" t="str">
        <f>IFERROR(__xludf.DUMMYFUNCTION("""COMPUTED_VALUE"""),"CAP CAVACHINI/CAP SHULZ/TEN BOREL/TEN SONALY/GIULIANE")</f>
        <v>CAP CAVACHINI/CAP SHULZ/TEN BOREL/TEN SONALY/GIULIANE</v>
      </c>
    </row>
    <row r="18" ht="43.5" customHeight="1">
      <c r="A18" s="125" t="s">
        <v>20</v>
      </c>
      <c r="B18" s="125" t="str">
        <f>IFERROR(__xludf.DUMMYFUNCTION("""COMPUTED_VALUE"""),"Estudos e Projetos")</f>
        <v>Estudos e Projetos</v>
      </c>
      <c r="C18" s="125" t="str">
        <f>IFERROR(__xludf.DUMMYFUNCTION("""COMPUTED_VALUE"""),"4 - INVESTIMENTOS")</f>
        <v>4 - INVESTIMENTOS</v>
      </c>
      <c r="D18" s="126" t="str">
        <f>IFERROR(__xludf.DUMMYFUNCTION("""COMPUTED_VALUE"""),"GEA 2026")</f>
        <v>GEA 2026</v>
      </c>
      <c r="E18" s="125" t="str">
        <f>IFERROR(__xludf.DUMMYFUNCTION("""COMPUTED_VALUE"""),"RECURSOS EXTRAORÇAMENTÁRIOS")</f>
        <v>RECURSOS EXTRAORÇAMENTÁRIOS</v>
      </c>
      <c r="F18" s="125" t="str">
        <f>IFERROR(__xludf.DUMMYFUNCTION("""COMPUTED_VALUE"""),"NOVA")</f>
        <v>NOVA</v>
      </c>
      <c r="G18" s="127">
        <f>IFERROR(__xludf.DUMMYFUNCTION("""COMPUTED_VALUE"""),46266.0)</f>
        <v>46266</v>
      </c>
      <c r="H18" s="125" t="str">
        <f>IFERROR(__xludf.DUMMYFUNCTION("""COMPUTED_VALUE"""),"UN")</f>
        <v>UN</v>
      </c>
      <c r="I18" s="128">
        <f>IFERROR(__xludf.DUMMYFUNCTION("""COMPUTED_VALUE"""),1.0)</f>
        <v>1</v>
      </c>
      <c r="J18" s="126">
        <f>IFERROR(__xludf.DUMMYFUNCTION("""COMPUTED_VALUE"""),64873.12)</f>
        <v>64873.12</v>
      </c>
      <c r="K18" s="126" t="str">
        <f>IFERROR(__xludf.DUMMYFUNCTION("""COMPUTED_VALUE"""),"CAP CAVACHINI/CAP SHULZ/TEN BOREL/TEN SONALY/GIULIANE")</f>
        <v>CAP CAVACHINI/CAP SHULZ/TEN BOREL/TEN SONALY/GIULIANE</v>
      </c>
    </row>
    <row r="19" ht="43.5" customHeight="1">
      <c r="A19" s="125" t="s">
        <v>20</v>
      </c>
      <c r="B19" s="125" t="str">
        <f>IFERROR(__xludf.DUMMYFUNCTION("""COMPUTED_VALUE"""),"Exposições, Congressos e Conferências")</f>
        <v>Exposições, Congressos e Conferências</v>
      </c>
      <c r="C19" s="125" t="str">
        <f>IFERROR(__xludf.DUMMYFUNCTION("""COMPUTED_VALUE"""),"3 - OUTRAS DESPESAS CORRENTES")</f>
        <v>3 - OUTRAS DESPESAS CORRENTES</v>
      </c>
      <c r="D19" s="126" t="str">
        <f>IFERROR(__xludf.DUMMYFUNCTION("""COMPUTED_VALUE"""),"DGP")</f>
        <v>DGP</v>
      </c>
      <c r="E19" s="125" t="str">
        <f>IFERROR(__xludf.DUMMYFUNCTION("""COMPUTED_VALUE"""),"RECURSOS VINCULADOS DO TESOURO")</f>
        <v>RECURSOS VINCULADOS DO TESOURO</v>
      </c>
      <c r="F19" s="125" t="str">
        <f>IFERROR(__xludf.DUMMYFUNCTION("""COMPUTED_VALUE"""),"NOVA")</f>
        <v>NOVA</v>
      </c>
      <c r="G19" s="127">
        <f>IFERROR(__xludf.DUMMYFUNCTION("""COMPUTED_VALUE"""),46266.0)</f>
        <v>46266</v>
      </c>
      <c r="H19" s="125" t="str">
        <f>IFERROR(__xludf.DUMMYFUNCTION("""COMPUTED_VALUE"""),"UN")</f>
        <v>UN</v>
      </c>
      <c r="I19" s="128">
        <f>IFERROR(__xludf.DUMMYFUNCTION("""COMPUTED_VALUE"""),1.0)</f>
        <v>1</v>
      </c>
      <c r="J19" s="126">
        <f>IFERROR(__xludf.DUMMYFUNCTION("""COMPUTED_VALUE"""),50000.0)</f>
        <v>50000</v>
      </c>
      <c r="K19" s="126" t="str">
        <f>IFERROR(__xludf.DUMMYFUNCTION("""COMPUTED_VALUE"""),"2º TEN QOABM BRUNO SILVA BOREL, NF 903246;")</f>
        <v>2º TEN QOABM BRUNO SILVA BOREL, NF 903246;</v>
      </c>
    </row>
    <row r="20" ht="43.5" customHeight="1">
      <c r="A20" s="125" t="s">
        <v>20</v>
      </c>
      <c r="B20" s="125" t="str">
        <f>IFERROR(__xludf.DUMMYFUNCTION("""COMPUTED_VALUE"""),"Ferramentas")</f>
        <v>Ferramentas</v>
      </c>
      <c r="C20" s="125" t="str">
        <f>IFERROR(__xludf.DUMMYFUNCTION("""COMPUTED_VALUE"""),"3 - OUTRAS DESPESAS CORRENTES")</f>
        <v>3 - OUTRAS DESPESAS CORRENTES</v>
      </c>
      <c r="D20" s="126" t="str">
        <f>IFERROR(__xludf.DUMMYFUNCTION("""COMPUTED_VALUE"""),"CEIB")</f>
        <v>CEIB</v>
      </c>
      <c r="E20" s="125" t="str">
        <f>IFERROR(__xludf.DUMMYFUNCTION("""COMPUTED_VALUE"""),"RECURSOS VINCULADOS DO TESOURO")</f>
        <v>RECURSOS VINCULADOS DO TESOURO</v>
      </c>
      <c r="F20" s="125" t="str">
        <f>IFERROR(__xludf.DUMMYFUNCTION("""COMPUTED_VALUE"""),"NOVA")</f>
        <v>NOVA</v>
      </c>
      <c r="G20" s="127">
        <f>IFERROR(__xludf.DUMMYFUNCTION("""COMPUTED_VALUE"""),46235.0)</f>
        <v>46235</v>
      </c>
      <c r="H20" s="125" t="str">
        <f>IFERROR(__xludf.DUMMYFUNCTION("""COMPUTED_VALUE"""),"UN")</f>
        <v>UN</v>
      </c>
      <c r="I20" s="128">
        <f>IFERROR(__xludf.DUMMYFUNCTION("""COMPUTED_VALUE"""),25.0)</f>
        <v>25</v>
      </c>
      <c r="J20" s="126">
        <f>IFERROR(__xludf.DUMMYFUNCTION("""COMPUTED_VALUE"""),11360.0)</f>
        <v>11360</v>
      </c>
      <c r="K20" s="126" t="str">
        <f>IFERROR(__xludf.DUMMYFUNCTION("""COMPUTED_VALUE"""),"SERVIDORA CIVIL GIULIANE MOREIRA, NF 3031942;")</f>
        <v>SERVIDORA CIVIL GIULIANE MOREIRA, NF 3031942;</v>
      </c>
    </row>
    <row r="21" ht="43.5" customHeight="1">
      <c r="A21" s="125" t="s">
        <v>20</v>
      </c>
      <c r="B21" s="125" t="str">
        <f>IFERROR(__xludf.DUMMYFUNCTION("""COMPUTED_VALUE"""),"Locação de Bens Móveis e Outras de Naturezas e 
Intangíveis ")</f>
        <v>Locação de Bens Móveis e Outras de Naturezas e 
Intangíveis </v>
      </c>
      <c r="C21" s="125" t="str">
        <f>IFERROR(__xludf.DUMMYFUNCTION("""COMPUTED_VALUE"""),"3 - OUTRAS DESPESAS CORRENTES")</f>
        <v>3 - OUTRAS DESPESAS CORRENTES</v>
      </c>
      <c r="D21" s="126" t="str">
        <f>IFERROR(__xludf.DUMMYFUNCTION("""COMPUTED_VALUE"""),"2° BBM")</f>
        <v>2° BBM</v>
      </c>
      <c r="E21" s="125" t="str">
        <f>IFERROR(__xludf.DUMMYFUNCTION("""COMPUTED_VALUE"""),"RECURSOS VINCULADOS DO TESOURO")</f>
        <v>RECURSOS VINCULADOS DO TESOURO</v>
      </c>
      <c r="F21" s="125" t="str">
        <f>IFERROR(__xludf.DUMMYFUNCTION("""COMPUTED_VALUE"""),"NOVA")</f>
        <v>NOVA</v>
      </c>
      <c r="G21" s="127">
        <f>IFERROR(__xludf.DUMMYFUNCTION("""COMPUTED_VALUE"""),46143.0)</f>
        <v>46143</v>
      </c>
      <c r="H21" s="125" t="str">
        <f>IFERROR(__xludf.DUMMYFUNCTION("""COMPUTED_VALUE"""),"UN")</f>
        <v>UN</v>
      </c>
      <c r="I21" s="128">
        <f>IFERROR(__xludf.DUMMYFUNCTION("""COMPUTED_VALUE"""),1.0)</f>
        <v>1</v>
      </c>
      <c r="J21" s="126">
        <f>IFERROR(__xludf.DUMMYFUNCTION("""COMPUTED_VALUE"""),480000.0)</f>
        <v>480000</v>
      </c>
      <c r="K21" s="126" t="str">
        <f>IFERROR(__xludf.DUMMYFUNCTION("""COMPUTED_VALUE"""),"MAJ QOCBM MARCIO DA COSTA CAVACHINI, NF 2758512")</f>
        <v>MAJ QOCBM MARCIO DA COSTA CAVACHINI, NF 2758512</v>
      </c>
    </row>
    <row r="22" ht="43.5" customHeight="1">
      <c r="A22" s="125" t="s">
        <v>20</v>
      </c>
      <c r="B22" s="125" t="str">
        <f>IFERROR(__xludf.DUMMYFUNCTION("""COMPUTED_VALUE"""),"Manutenção e Conservação de Bens Imóveis")</f>
        <v>Manutenção e Conservação de Bens Imóveis</v>
      </c>
      <c r="C22" s="125" t="str">
        <f>IFERROR(__xludf.DUMMYFUNCTION("""COMPUTED_VALUE"""),"3 - OUTRAS DESPESAS CORRENTES")</f>
        <v>3 - OUTRAS DESPESAS CORRENTES</v>
      </c>
      <c r="D22" s="126" t="str">
        <f>IFERROR(__xludf.DUMMYFUNCTION("""COMPUTED_VALUE"""),"CEIB")</f>
        <v>CEIB</v>
      </c>
      <c r="E22" s="125" t="str">
        <f>IFERROR(__xludf.DUMMYFUNCTION("""COMPUTED_VALUE"""),"RECURSOS VINCULADOS DO TESOURO")</f>
        <v>RECURSOS VINCULADOS DO TESOURO</v>
      </c>
      <c r="F22" s="125" t="str">
        <f>IFERROR(__xludf.DUMMYFUNCTION("""COMPUTED_VALUE"""),"NOVA")</f>
        <v>NOVA</v>
      </c>
      <c r="G22" s="127">
        <f>IFERROR(__xludf.DUMMYFUNCTION("""COMPUTED_VALUE"""),46235.0)</f>
        <v>46235</v>
      </c>
      <c r="H22" s="125" t="str">
        <f>IFERROR(__xludf.DUMMYFUNCTION("""COMPUTED_VALUE"""),"UN")</f>
        <v>UN</v>
      </c>
      <c r="I22" s="128">
        <f>IFERROR(__xludf.DUMMYFUNCTION("""COMPUTED_VALUE"""),1.0)</f>
        <v>1</v>
      </c>
      <c r="J22" s="126">
        <f>IFERROR(__xludf.DUMMYFUNCTION("""COMPUTED_VALUE"""),18000.0)</f>
        <v>18000</v>
      </c>
      <c r="K22" s="126" t="str">
        <f>IFERROR(__xludf.DUMMYFUNCTION("""COMPUTED_VALUE"""),"2º TEN QOABM BRUNO SILVA BOREL, NF 903246;")</f>
        <v>2º TEN QOABM BRUNO SILVA BOREL, NF 903246;</v>
      </c>
    </row>
    <row r="23" ht="43.5" customHeight="1">
      <c r="A23" s="125" t="s">
        <v>20</v>
      </c>
      <c r="B23" s="125" t="str">
        <f>IFERROR(__xludf.DUMMYFUNCTION("""COMPUTED_VALUE"""),"Material Hospitalar")</f>
        <v>Material Hospitalar</v>
      </c>
      <c r="C23" s="125" t="str">
        <f>IFERROR(__xludf.DUMMYFUNCTION("""COMPUTED_VALUE"""),"3 - OUTRAS DESPESAS CORRENTES")</f>
        <v>3 - OUTRAS DESPESAS CORRENTES</v>
      </c>
      <c r="D23" s="126" t="str">
        <f>IFERROR(__xludf.DUMMYFUNCTION("""COMPUTED_VALUE"""),"CEIB")</f>
        <v>CEIB</v>
      </c>
      <c r="E23" s="125" t="str">
        <f>IFERROR(__xludf.DUMMYFUNCTION("""COMPUTED_VALUE"""),"RECURSOS VINCULADOS DO TESOURO")</f>
        <v>RECURSOS VINCULADOS DO TESOURO</v>
      </c>
      <c r="F23" s="125" t="str">
        <f>IFERROR(__xludf.DUMMYFUNCTION("""COMPUTED_VALUE"""),"NOVA")</f>
        <v>NOVA</v>
      </c>
      <c r="G23" s="127">
        <f>IFERROR(__xludf.DUMMYFUNCTION("""COMPUTED_VALUE"""),46204.0)</f>
        <v>46204</v>
      </c>
      <c r="H23" s="125" t="str">
        <f>IFERROR(__xludf.DUMMYFUNCTION("""COMPUTED_VALUE"""),"caixa")</f>
        <v>caixa</v>
      </c>
      <c r="I23" s="128">
        <f>IFERROR(__xludf.DUMMYFUNCTION("""COMPUTED_VALUE"""),87.0)</f>
        <v>87</v>
      </c>
      <c r="J23" s="126">
        <f>IFERROR(__xludf.DUMMYFUNCTION("""COMPUTED_VALUE"""),12935.0)</f>
        <v>12935</v>
      </c>
      <c r="K23" s="126" t="str">
        <f>IFERROR(__xludf.DUMMYFUNCTION("""COMPUTED_VALUE"""),"SERVIDORA CIVIL GIULIANE MOREIRA, NF 3031942;")</f>
        <v>SERVIDORA CIVIL GIULIANE MOREIRA, NF 3031942;</v>
      </c>
    </row>
    <row r="24" ht="43.5" customHeight="1">
      <c r="A24" s="125" t="s">
        <v>20</v>
      </c>
      <c r="B24" s="125" t="str">
        <f>IFERROR(__xludf.DUMMYFUNCTION("""COMPUTED_VALUE"""),"Material Para Manutenção de Bens Imóveis")</f>
        <v>Material Para Manutenção de Bens Imóveis</v>
      </c>
      <c r="C24" s="125" t="str">
        <f>IFERROR(__xludf.DUMMYFUNCTION("""COMPUTED_VALUE"""),"3 - OUTRAS DESPESAS CORRENTES")</f>
        <v>3 - OUTRAS DESPESAS CORRENTES</v>
      </c>
      <c r="D24" s="126" t="str">
        <f>IFERROR(__xludf.DUMMYFUNCTION("""COMPUTED_VALUE"""),"MERGULHO")</f>
        <v>MERGULHO</v>
      </c>
      <c r="E24" s="125" t="str">
        <f>IFERROR(__xludf.DUMMYFUNCTION("""COMPUTED_VALUE"""),"RECURSOS VINCULADOS DO TESOURO")</f>
        <v>RECURSOS VINCULADOS DO TESOURO</v>
      </c>
      <c r="F24" s="125" t="str">
        <f>IFERROR(__xludf.DUMMYFUNCTION("""COMPUTED_VALUE"""),"NOVA")</f>
        <v>NOVA</v>
      </c>
      <c r="G24" s="127">
        <f>IFERROR(__xludf.DUMMYFUNCTION("""COMPUTED_VALUE"""),46235.0)</f>
        <v>46235</v>
      </c>
      <c r="H24" s="125" t="str">
        <f>IFERROR(__xludf.DUMMYFUNCTION("""COMPUTED_VALUE"""),"UN")</f>
        <v>UN</v>
      </c>
      <c r="I24" s="128">
        <f>IFERROR(__xludf.DUMMYFUNCTION("""COMPUTED_VALUE"""),341.0)</f>
        <v>341</v>
      </c>
      <c r="J24" s="126">
        <f>IFERROR(__xludf.DUMMYFUNCTION("""COMPUTED_VALUE"""),22550.0)</f>
        <v>22550</v>
      </c>
      <c r="K24" s="126" t="str">
        <f>IFERROR(__xludf.DUMMYFUNCTION("""COMPUTED_VALUE"""),"2º TEN QOABM SONALY WESLENY DE FÁTIMA DA SILVA RIBEIRO, NF 903842;")</f>
        <v>2º TEN QOABM SONALY WESLENY DE FÁTIMA DA SILVA RIBEIRO, NF 903842;</v>
      </c>
    </row>
    <row r="25" ht="43.5" customHeight="1">
      <c r="A25" s="125" t="s">
        <v>20</v>
      </c>
      <c r="B25" s="125" t="str">
        <f>IFERROR(__xludf.DUMMYFUNCTION("""COMPUTED_VALUE"""),"Material Para Manutenção de Bens Móveis")</f>
        <v>Material Para Manutenção de Bens Móveis</v>
      </c>
      <c r="C25" s="125" t="str">
        <f>IFERROR(__xludf.DUMMYFUNCTION("""COMPUTED_VALUE"""),"3 - OUTRAS DESPESAS CORRENTES")</f>
        <v>3 - OUTRAS DESPESAS CORRENTES</v>
      </c>
      <c r="D25" s="126" t="str">
        <f>IFERROR(__xludf.DUMMYFUNCTION("""COMPUTED_VALUE"""),"PREFEITURA DEPMAT")</f>
        <v>PREFEITURA DEPMAT</v>
      </c>
      <c r="E25" s="125" t="str">
        <f>IFERROR(__xludf.DUMMYFUNCTION("""COMPUTED_VALUE"""),"RECURSOS VINCULADOS DO TESOURO")</f>
        <v>RECURSOS VINCULADOS DO TESOURO</v>
      </c>
      <c r="F25" s="125" t="str">
        <f>IFERROR(__xludf.DUMMYFUNCTION("""COMPUTED_VALUE"""),"NOVA")</f>
        <v>NOVA</v>
      </c>
      <c r="G25" s="127">
        <f>IFERROR(__xludf.DUMMYFUNCTION("""COMPUTED_VALUE"""),46235.0)</f>
        <v>46235</v>
      </c>
      <c r="H25" s="125" t="str">
        <f>IFERROR(__xludf.DUMMYFUNCTION("""COMPUTED_VALUE"""),"kit")</f>
        <v>kit</v>
      </c>
      <c r="I25" s="128">
        <f>IFERROR(__xludf.DUMMYFUNCTION("""COMPUTED_VALUE"""),297.0)</f>
        <v>297</v>
      </c>
      <c r="J25" s="126">
        <f>IFERROR(__xludf.DUMMYFUNCTION("""COMPUTED_VALUE"""),144540.0)</f>
        <v>144540</v>
      </c>
      <c r="K25" s="126" t="str">
        <f>IFERROR(__xludf.DUMMYFUNCTION("""COMPUTED_VALUE"""),"SERVIDORA CIVIL GIULIANE MOREIRA, NF 3031942;")</f>
        <v>SERVIDORA CIVIL GIULIANE MOREIRA, NF 3031942;</v>
      </c>
    </row>
    <row r="26" ht="43.5" customHeight="1">
      <c r="A26" s="125" t="s">
        <v>20</v>
      </c>
      <c r="B26" s="125" t="str">
        <f>IFERROR(__xludf.DUMMYFUNCTION("""COMPUTED_VALUE"""),"Material Técnico Para Seleção e Treinamento")</f>
        <v>Material Técnico Para Seleção e Treinamento</v>
      </c>
      <c r="C26" s="125" t="str">
        <f>IFERROR(__xludf.DUMMYFUNCTION("""COMPUTED_VALUE"""),"4 - INVESTIMENTOS")</f>
        <v>4 - INVESTIMENTOS</v>
      </c>
      <c r="D26" s="126" t="str">
        <f>IFERROR(__xludf.DUMMYFUNCTION("""COMPUTED_VALUE"""),"CEIB")</f>
        <v>CEIB</v>
      </c>
      <c r="E26" s="125" t="str">
        <f>IFERROR(__xludf.DUMMYFUNCTION("""COMPUTED_VALUE"""),"RECURSOS VINCULADOS DO TESOURO")</f>
        <v>RECURSOS VINCULADOS DO TESOURO</v>
      </c>
      <c r="F26" s="125" t="str">
        <f>IFERROR(__xludf.DUMMYFUNCTION("""COMPUTED_VALUE"""),"NOVA")</f>
        <v>NOVA</v>
      </c>
      <c r="G26" s="127">
        <f>IFERROR(__xludf.DUMMYFUNCTION("""COMPUTED_VALUE"""),46235.0)</f>
        <v>46235</v>
      </c>
      <c r="H26" s="125" t="str">
        <f>IFERROR(__xludf.DUMMYFUNCTION("""COMPUTED_VALUE"""),"UN")</f>
        <v>UN</v>
      </c>
      <c r="I26" s="128">
        <f>IFERROR(__xludf.DUMMYFUNCTION("""COMPUTED_VALUE"""),27.0)</f>
        <v>27</v>
      </c>
      <c r="J26" s="126">
        <f>IFERROR(__xludf.DUMMYFUNCTION("""COMPUTED_VALUE"""),63784.0)</f>
        <v>63784</v>
      </c>
      <c r="K26" s="126" t="str">
        <f>IFERROR(__xludf.DUMMYFUNCTION("""COMPUTED_VALUE"""),"CAP CAVACHINI/CAP SHULZ/TEN BOREL/TEN SONALY/GIULIANE")</f>
        <v>CAP CAVACHINI/CAP SHULZ/TEN BOREL/TEN SONALY/GIULIANE</v>
      </c>
    </row>
    <row r="27" ht="43.5" customHeight="1">
      <c r="A27" s="125" t="s">
        <v>20</v>
      </c>
      <c r="B27" s="125" t="str">
        <f>IFERROR(__xludf.DUMMYFUNCTION("""COMPUTED_VALUE"""),"Material de Construção")</f>
        <v>Material de Construção</v>
      </c>
      <c r="C27" s="125" t="str">
        <f>IFERROR(__xludf.DUMMYFUNCTION("""COMPUTED_VALUE"""),"3 - OUTRAS DESPESAS CORRENTES")</f>
        <v>3 - OUTRAS DESPESAS CORRENTES</v>
      </c>
      <c r="D27" s="126" t="str">
        <f>IFERROR(__xludf.DUMMYFUNCTION("""COMPUTED_VALUE"""),"CEIB")</f>
        <v>CEIB</v>
      </c>
      <c r="E27" s="125" t="str">
        <f>IFERROR(__xludf.DUMMYFUNCTION("""COMPUTED_VALUE"""),"RECURSOS DE CAIXA DO TESOURO")</f>
        <v>RECURSOS DE CAIXA DO TESOURO</v>
      </c>
      <c r="F27" s="125" t="str">
        <f>IFERROR(__xludf.DUMMYFUNCTION("""COMPUTED_VALUE"""),"NOVA")</f>
        <v>NOVA</v>
      </c>
      <c r="G27" s="127">
        <f>IFERROR(__xludf.DUMMYFUNCTION("""COMPUTED_VALUE"""),46143.0)</f>
        <v>46143</v>
      </c>
      <c r="H27" s="125" t="str">
        <f>IFERROR(__xludf.DUMMYFUNCTION("""COMPUTED_VALUE"""),"UN")</f>
        <v>UN</v>
      </c>
      <c r="I27" s="128">
        <f>IFERROR(__xludf.DUMMYFUNCTION("""COMPUTED_VALUE"""),4.0)</f>
        <v>4</v>
      </c>
      <c r="J27" s="126">
        <f>IFERROR(__xludf.DUMMYFUNCTION("""COMPUTED_VALUE"""),240.0)</f>
        <v>240</v>
      </c>
      <c r="K27" s="126" t="str">
        <f>IFERROR(__xludf.DUMMYFUNCTION("""COMPUTED_VALUE"""),"MAJ QOCBM MARCIO DA COSTA CAVACHINI, NF 2758512")</f>
        <v>MAJ QOCBM MARCIO DA COSTA CAVACHINI, NF 2758512</v>
      </c>
    </row>
    <row r="28" ht="43.5" customHeight="1">
      <c r="A28" s="125" t="s">
        <v>20</v>
      </c>
      <c r="B28" s="125" t="str">
        <f>IFERROR(__xludf.DUMMYFUNCTION("""COMPUTED_VALUE"""),"Material de Consumo Geral")</f>
        <v>Material de Consumo Geral</v>
      </c>
      <c r="C28" s="125" t="str">
        <f>IFERROR(__xludf.DUMMYFUNCTION("""COMPUTED_VALUE"""),"3 - OUTRAS DESPESAS CORRENTES")</f>
        <v>3 - OUTRAS DESPESAS CORRENTES</v>
      </c>
      <c r="D28" s="126" t="str">
        <f>IFERROR(__xludf.DUMMYFUNCTION("""COMPUTED_VALUE"""),"GBENS")</f>
        <v>GBENS</v>
      </c>
      <c r="E28" s="125" t="str">
        <f>IFERROR(__xludf.DUMMYFUNCTION("""COMPUTED_VALUE"""),"RECURSOS VINCULADOS DO TESOURO")</f>
        <v>RECURSOS VINCULADOS DO TESOURO</v>
      </c>
      <c r="F28" s="125" t="str">
        <f>IFERROR(__xludf.DUMMYFUNCTION("""COMPUTED_VALUE"""),"NOVA")</f>
        <v>NOVA</v>
      </c>
      <c r="G28" s="127">
        <f>IFERROR(__xludf.DUMMYFUNCTION("""COMPUTED_VALUE"""),46304.0)</f>
        <v>46304</v>
      </c>
      <c r="H28" s="125" t="str">
        <f>IFERROR(__xludf.DUMMYFUNCTION("""COMPUTED_VALUE"""),"UN")</f>
        <v>UN</v>
      </c>
      <c r="I28" s="128">
        <f>IFERROR(__xludf.DUMMYFUNCTION("""COMPUTED_VALUE"""),6001.0)</f>
        <v>6001</v>
      </c>
      <c r="J28" s="126">
        <f>IFERROR(__xludf.DUMMYFUNCTION("""COMPUTED_VALUE"""),24200.0)</f>
        <v>24200</v>
      </c>
      <c r="K28" s="126" t="str">
        <f>IFERROR(__xludf.DUMMYFUNCTION("""COMPUTED_VALUE"""),"CAP QOCBM GUILHERME MARTINELLI SCHULZ, NF 3693864;")</f>
        <v>CAP QOCBM GUILHERME MARTINELLI SCHULZ, NF 3693864;</v>
      </c>
    </row>
    <row r="29" ht="43.5" customHeight="1">
      <c r="A29" s="125" t="s">
        <v>20</v>
      </c>
      <c r="B29" s="125" t="str">
        <f>IFERROR(__xludf.DUMMYFUNCTION("""COMPUTED_VALUE"""),"Material de Expediente")</f>
        <v>Material de Expediente</v>
      </c>
      <c r="C29" s="125" t="str">
        <f>IFERROR(__xludf.DUMMYFUNCTION("""COMPUTED_VALUE"""),"3 - OUTRAS DESPESAS CORRENTES")</f>
        <v>3 - OUTRAS DESPESAS CORRENTES</v>
      </c>
      <c r="D29" s="126" t="str">
        <f>IFERROR(__xludf.DUMMYFUNCTION("""COMPUTED_VALUE"""),"ASCOM")</f>
        <v>ASCOM</v>
      </c>
      <c r="E29" s="125"/>
      <c r="F29" s="125" t="str">
        <f>IFERROR(__xludf.DUMMYFUNCTION("""COMPUTED_VALUE"""),"NOVA")</f>
        <v>NOVA</v>
      </c>
      <c r="G29" s="127"/>
      <c r="H29" s="125" t="str">
        <f>IFERROR(__xludf.DUMMYFUNCTION("""COMPUTED_VALUE"""),"UN")</f>
        <v>UN</v>
      </c>
      <c r="I29" s="128">
        <f>IFERROR(__xludf.DUMMYFUNCTION("""COMPUTED_VALUE"""),305.0)</f>
        <v>305</v>
      </c>
      <c r="J29" s="126">
        <f>IFERROR(__xludf.DUMMYFUNCTION("""COMPUTED_VALUE"""),64250.0)</f>
        <v>64250</v>
      </c>
      <c r="K29" s="126" t="str">
        <f>IFERROR(__xludf.DUMMYFUNCTION("""COMPUTED_VALUE"""),"MAJ QOCBM MARCIO DA COSTA CAVACHINI, NF 2758512")</f>
        <v>MAJ QOCBM MARCIO DA COSTA CAVACHINI, NF 2758512</v>
      </c>
    </row>
    <row r="30" ht="43.5" customHeight="1">
      <c r="A30" s="125" t="s">
        <v>20</v>
      </c>
      <c r="B30" s="125" t="str">
        <f>IFERROR(__xludf.DUMMYFUNCTION("""COMPUTED_VALUE"""),"Material de Limpeza e Produção de Higienização")</f>
        <v>Material de Limpeza e Produção de Higienização</v>
      </c>
      <c r="C30" s="125" t="str">
        <f>IFERROR(__xludf.DUMMYFUNCTION("""COMPUTED_VALUE"""),"3 - OUTRAS DESPESAS CORRENTES")</f>
        <v>3 - OUTRAS DESPESAS CORRENTES</v>
      </c>
      <c r="D30" s="126" t="str">
        <f>IFERROR(__xludf.DUMMYFUNCTION("""COMPUTED_VALUE"""),"PREFEITURA DAL")</f>
        <v>PREFEITURA DAL</v>
      </c>
      <c r="E30" s="125" t="str">
        <f>IFERROR(__xludf.DUMMYFUNCTION("""COMPUTED_VALUE"""),"RECURSOS VINCULADOS DO TESOURO")</f>
        <v>RECURSOS VINCULADOS DO TESOURO</v>
      </c>
      <c r="F30" s="125" t="str">
        <f>IFERROR(__xludf.DUMMYFUNCTION("""COMPUTED_VALUE"""),"NOVA")</f>
        <v>NOVA</v>
      </c>
      <c r="G30" s="127">
        <f>IFERROR(__xludf.DUMMYFUNCTION("""COMPUTED_VALUE"""),46174.0)</f>
        <v>46174</v>
      </c>
      <c r="H30" s="125" t="str">
        <f>IFERROR(__xludf.DUMMYFUNCTION("""COMPUTED_VALUE"""),"UN")</f>
        <v>UN</v>
      </c>
      <c r="I30" s="128">
        <f>IFERROR(__xludf.DUMMYFUNCTION("""COMPUTED_VALUE"""),20.0)</f>
        <v>20</v>
      </c>
      <c r="J30" s="126">
        <f>IFERROR(__xludf.DUMMYFUNCTION("""COMPUTED_VALUE"""),1600.0)</f>
        <v>1600</v>
      </c>
      <c r="K30" s="126" t="str">
        <f>IFERROR(__xludf.DUMMYFUNCTION("""COMPUTED_VALUE"""),"CAP CAVACHINI/CAP SHULZ/TEN BOREL/TEN SONALY/GIULIANE")</f>
        <v>CAP CAVACHINI/CAP SHULZ/TEN BOREL/TEN SONALY/GIULIANE</v>
      </c>
    </row>
    <row r="31" ht="43.5" customHeight="1">
      <c r="A31" s="125" t="s">
        <v>20</v>
      </c>
      <c r="B31" s="125" t="str">
        <f>IFERROR(__xludf.DUMMYFUNCTION("""COMPUTED_VALUE"""),"Material de Proteção e Segurança")</f>
        <v>Material de Proteção e Segurança</v>
      </c>
      <c r="C31" s="125" t="str">
        <f>IFERROR(__xludf.DUMMYFUNCTION("""COMPUTED_VALUE"""),"3 - OUTRAS DESPESAS CORRENTES")</f>
        <v>3 - OUTRAS DESPESAS CORRENTES</v>
      </c>
      <c r="D31" s="126" t="str">
        <f>IFERROR(__xludf.DUMMYFUNCTION("""COMPUTED_VALUE"""),"MERGULHO")</f>
        <v>MERGULHO</v>
      </c>
      <c r="E31" s="125" t="str">
        <f>IFERROR(__xludf.DUMMYFUNCTION("""COMPUTED_VALUE"""),"RECURSOS VINCULADOS DO TESOURO")</f>
        <v>RECURSOS VINCULADOS DO TESOURO</v>
      </c>
      <c r="F31" s="125" t="str">
        <f>IFERROR(__xludf.DUMMYFUNCTION("""COMPUTED_VALUE"""),"NOVA")</f>
        <v>NOVA</v>
      </c>
      <c r="G31" s="127">
        <f>IFERROR(__xludf.DUMMYFUNCTION("""COMPUTED_VALUE"""),46266.0)</f>
        <v>46266</v>
      </c>
      <c r="H31" s="125" t="str">
        <f>IFERROR(__xludf.DUMMYFUNCTION("""COMPUTED_VALUE"""),"metros")</f>
        <v>metros</v>
      </c>
      <c r="I31" s="128">
        <f>IFERROR(__xludf.DUMMYFUNCTION("""COMPUTED_VALUE"""),4046.0)</f>
        <v>4046</v>
      </c>
      <c r="J31" s="126">
        <f>IFERROR(__xludf.DUMMYFUNCTION("""COMPUTED_VALUE"""),2870084.0)</f>
        <v>2870084</v>
      </c>
      <c r="K31" s="126" t="str">
        <f>IFERROR(__xludf.DUMMYFUNCTION("""COMPUTED_VALUE"""),"SERVIDORA CIVIL GIULIANE MOREIRA, NF 3031942;")</f>
        <v>SERVIDORA CIVIL GIULIANE MOREIRA, NF 3031942;</v>
      </c>
    </row>
    <row r="32" ht="43.5" customHeight="1">
      <c r="A32" s="125" t="s">
        <v>20</v>
      </c>
      <c r="B32" s="125" t="str">
        <f>IFERROR(__xludf.DUMMYFUNCTION("""COMPUTED_VALUE"""),"Material de Proteção e Segurança")</f>
        <v>Material de Proteção e Segurança</v>
      </c>
      <c r="C32" s="125" t="str">
        <f>IFERROR(__xludf.DUMMYFUNCTION("""COMPUTED_VALUE"""),"4 - INVESTIMENTOS")</f>
        <v>4 - INVESTIMENTOS</v>
      </c>
      <c r="D32" s="126" t="str">
        <f>IFERROR(__xludf.DUMMYFUNCTION("""COMPUTED_VALUE"""),"DOP")</f>
        <v>DOP</v>
      </c>
      <c r="E32" s="125" t="str">
        <f>IFERROR(__xludf.DUMMYFUNCTION("""COMPUTED_VALUE"""),"RECURSOS VINCULADOS DO TESOURO")</f>
        <v>RECURSOS VINCULADOS DO TESOURO</v>
      </c>
      <c r="F32" s="125" t="str">
        <f>IFERROR(__xludf.DUMMYFUNCTION("""COMPUTED_VALUE"""),"NOVA")</f>
        <v>NOVA</v>
      </c>
      <c r="G32" s="127">
        <f>IFERROR(__xludf.DUMMYFUNCTION("""COMPUTED_VALUE"""),46270.0)</f>
        <v>46270</v>
      </c>
      <c r="H32" s="125" t="str">
        <f>IFERROR(__xludf.DUMMYFUNCTION("""COMPUTED_VALUE"""),"UN")</f>
        <v>UN</v>
      </c>
      <c r="I32" s="128">
        <f>IFERROR(__xludf.DUMMYFUNCTION("""COMPUTED_VALUE"""),47.0)</f>
        <v>47</v>
      </c>
      <c r="J32" s="126">
        <f>IFERROR(__xludf.DUMMYFUNCTION("""COMPUTED_VALUE"""),390000.0)</f>
        <v>390000</v>
      </c>
      <c r="K32" s="126" t="str">
        <f>IFERROR(__xludf.DUMMYFUNCTION("""COMPUTED_VALUE"""),"CAP CAVACHINI/CAP SHULZ/TEN BOREL/TEN SONALY/GIULIANE")</f>
        <v>CAP CAVACHINI/CAP SHULZ/TEN BOREL/TEN SONALY/GIULIANE</v>
      </c>
    </row>
    <row r="33" ht="43.5" customHeight="1">
      <c r="A33" s="125" t="s">
        <v>20</v>
      </c>
      <c r="B33" s="125" t="str">
        <f>IFERROR(__xludf.DUMMYFUNCTION("""COMPUTED_VALUE"""),"Material para Comunicações")</f>
        <v>Material para Comunicações</v>
      </c>
      <c r="C33" s="125" t="str">
        <f>IFERROR(__xludf.DUMMYFUNCTION("""COMPUTED_VALUE"""),"3 - OUTRAS DESPESAS CORRENTES")</f>
        <v>3 - OUTRAS DESPESAS CORRENTES</v>
      </c>
      <c r="D33" s="126" t="str">
        <f>IFERROR(__xludf.DUMMYFUNCTION("""COMPUTED_VALUE"""),"ALMOXARIFADO")</f>
        <v>ALMOXARIFADO</v>
      </c>
      <c r="E33" s="125" t="str">
        <f>IFERROR(__xludf.DUMMYFUNCTION("""COMPUTED_VALUE"""),"RECURSOS DE CAIXA DO TESOURO")</f>
        <v>RECURSOS DE CAIXA DO TESOURO</v>
      </c>
      <c r="F33" s="125" t="str">
        <f>IFERROR(__xludf.DUMMYFUNCTION("""COMPUTED_VALUE"""),"NOVA")</f>
        <v>NOVA</v>
      </c>
      <c r="G33" s="127">
        <f>IFERROR(__xludf.DUMMYFUNCTION("""COMPUTED_VALUE"""),46235.0)</f>
        <v>46235</v>
      </c>
      <c r="H33" s="125" t="str">
        <f>IFERROR(__xludf.DUMMYFUNCTION("""COMPUTED_VALUE"""),"UN")</f>
        <v>UN</v>
      </c>
      <c r="I33" s="128">
        <f>IFERROR(__xludf.DUMMYFUNCTION("""COMPUTED_VALUE"""),60.0)</f>
        <v>60</v>
      </c>
      <c r="J33" s="126">
        <f>IFERROR(__xludf.DUMMYFUNCTION("""COMPUTED_VALUE"""),12000.0)</f>
        <v>12000</v>
      </c>
      <c r="K33" s="126" t="str">
        <f>IFERROR(__xludf.DUMMYFUNCTION("""COMPUTED_VALUE"""),"MAJ QOCBM MARCIO DA COSTA CAVACHINI, NF 2758512")</f>
        <v>MAJ QOCBM MARCIO DA COSTA CAVACHINI, NF 2758512</v>
      </c>
    </row>
    <row r="34" ht="43.5" customHeight="1">
      <c r="A34" s="125" t="s">
        <v>20</v>
      </c>
      <c r="B34" s="125" t="str">
        <f>IFERROR(__xludf.DUMMYFUNCTION("""COMPUTED_VALUE"""),"Material para Comunicações")</f>
        <v>Material para Comunicações</v>
      </c>
      <c r="C34" s="125" t="str">
        <f>IFERROR(__xludf.DUMMYFUNCTION("""COMPUTED_VALUE"""),"4 - INVESTIMENTOS")</f>
        <v>4 - INVESTIMENTOS</v>
      </c>
      <c r="D34" s="126" t="str">
        <f>IFERROR(__xludf.DUMMYFUNCTION("""COMPUTED_VALUE"""),"PERÍCIA")</f>
        <v>PERÍCIA</v>
      </c>
      <c r="E34" s="125" t="str">
        <f>IFERROR(__xludf.DUMMYFUNCTION("""COMPUTED_VALUE"""),"RECURSOS VINCULADOS DO TESOURO")</f>
        <v>RECURSOS VINCULADOS DO TESOURO</v>
      </c>
      <c r="F34" s="125" t="str">
        <f>IFERROR(__xludf.DUMMYFUNCTION("""COMPUTED_VALUE"""),"NOVA")</f>
        <v>NOVA</v>
      </c>
      <c r="G34" s="127">
        <f>IFERROR(__xludf.DUMMYFUNCTION("""COMPUTED_VALUE"""),46235.0)</f>
        <v>46235</v>
      </c>
      <c r="H34" s="125" t="str">
        <f>IFERROR(__xludf.DUMMYFUNCTION("""COMPUTED_VALUE"""),"UN")</f>
        <v>UN</v>
      </c>
      <c r="I34" s="128">
        <f>IFERROR(__xludf.DUMMYFUNCTION("""COMPUTED_VALUE"""),2.0)</f>
        <v>2</v>
      </c>
      <c r="J34" s="126">
        <f>IFERROR(__xludf.DUMMYFUNCTION("""COMPUTED_VALUE"""),20000.0)</f>
        <v>20000</v>
      </c>
      <c r="K34" s="126" t="str">
        <f>IFERROR(__xludf.DUMMYFUNCTION("""COMPUTED_VALUE"""),"CAP CAVACHINI/CAP SHULZ/TEN BOREL/TEN SONALY/GIULIANE")</f>
        <v>CAP CAVACHINI/CAP SHULZ/TEN BOREL/TEN SONALY/GIULIANE</v>
      </c>
    </row>
    <row r="35" ht="43.5" customHeight="1">
      <c r="A35" s="125" t="s">
        <v>20</v>
      </c>
      <c r="B35" s="125" t="str">
        <f>IFERROR(__xludf.DUMMYFUNCTION("""COMPUTED_VALUE"""),"Mobiliário em Geral")</f>
        <v>Mobiliário em Geral</v>
      </c>
      <c r="C35" s="125" t="str">
        <f>IFERROR(__xludf.DUMMYFUNCTION("""COMPUTED_VALUE"""),"4 - INVESTIMENTOS")</f>
        <v>4 - INVESTIMENTOS</v>
      </c>
      <c r="D35" s="126" t="str">
        <f>IFERROR(__xludf.DUMMYFUNCTION("""COMPUTED_VALUE"""),"PREFEITURA DEPMAT")</f>
        <v>PREFEITURA DEPMAT</v>
      </c>
      <c r="E35" s="125" t="str">
        <f>IFERROR(__xludf.DUMMYFUNCTION("""COMPUTED_VALUE"""),"RECURSOS VINCULADOS DO TESOURO")</f>
        <v>RECURSOS VINCULADOS DO TESOURO</v>
      </c>
      <c r="F35" s="125" t="str">
        <f>IFERROR(__xludf.DUMMYFUNCTION("""COMPUTED_VALUE"""),"NOVA")</f>
        <v>NOVA</v>
      </c>
      <c r="G35" s="127">
        <f>IFERROR(__xludf.DUMMYFUNCTION("""COMPUTED_VALUE"""),46266.0)</f>
        <v>46266</v>
      </c>
      <c r="H35" s="125" t="str">
        <f>IFERROR(__xludf.DUMMYFUNCTION("""COMPUTED_VALUE"""),"UN")</f>
        <v>UN</v>
      </c>
      <c r="I35" s="128">
        <f>IFERROR(__xludf.DUMMYFUNCTION("""COMPUTED_VALUE"""),237.0)</f>
        <v>237</v>
      </c>
      <c r="J35" s="126">
        <f>IFERROR(__xludf.DUMMYFUNCTION("""COMPUTED_VALUE"""),1486128.0)</f>
        <v>1486128</v>
      </c>
      <c r="K35" s="126" t="str">
        <f>IFERROR(__xludf.DUMMYFUNCTION("""COMPUTED_VALUE"""),"MAJ QOCBM MARCIO DA COSTA CAVACHINI, NF 2758512")</f>
        <v>MAJ QOCBM MARCIO DA COSTA CAVACHINI, NF 2758512</v>
      </c>
    </row>
    <row r="36" ht="43.5" customHeight="1">
      <c r="A36" s="125" t="s">
        <v>20</v>
      </c>
      <c r="B36" s="125" t="str">
        <f>IFERROR(__xludf.DUMMYFUNCTION("""COMPUTED_VALUE"""),"Máquinas e Equipamentos Energéticos")</f>
        <v>Máquinas e Equipamentos Energéticos</v>
      </c>
      <c r="C36" s="125" t="str">
        <f>IFERROR(__xludf.DUMMYFUNCTION("""COMPUTED_VALUE"""),"4 - INVESTIMENTOS")</f>
        <v>4 - INVESTIMENTOS</v>
      </c>
      <c r="D36" s="126" t="str">
        <f>IFERROR(__xludf.DUMMYFUNCTION("""COMPUTED_VALUE"""),"PERÍCIA")</f>
        <v>PERÍCIA</v>
      </c>
      <c r="E36" s="125" t="str">
        <f>IFERROR(__xludf.DUMMYFUNCTION("""COMPUTED_VALUE"""),"RECURSOS VINCULADOS DO TESOURO")</f>
        <v>RECURSOS VINCULADOS DO TESOURO</v>
      </c>
      <c r="F36" s="125" t="str">
        <f>IFERROR(__xludf.DUMMYFUNCTION("""COMPUTED_VALUE"""),"NOVA")</f>
        <v>NOVA</v>
      </c>
      <c r="G36" s="127">
        <f>IFERROR(__xludf.DUMMYFUNCTION("""COMPUTED_VALUE"""),46235.0)</f>
        <v>46235</v>
      </c>
      <c r="H36" s="125" t="str">
        <f>IFERROR(__xludf.DUMMYFUNCTION("""COMPUTED_VALUE"""),"UN")</f>
        <v>UN</v>
      </c>
      <c r="I36" s="128">
        <f>IFERROR(__xludf.DUMMYFUNCTION("""COMPUTED_VALUE"""),13.0)</f>
        <v>13</v>
      </c>
      <c r="J36" s="126">
        <f>IFERROR(__xludf.DUMMYFUNCTION("""COMPUTED_VALUE"""),52132.0)</f>
        <v>52132</v>
      </c>
      <c r="K36" s="126" t="str">
        <f>IFERROR(__xludf.DUMMYFUNCTION("""COMPUTED_VALUE"""),"CAP CAVACHINI/CAP SHULZ/TEN BOREL/TEN SONALY/GIULIANE")</f>
        <v>CAP CAVACHINI/CAP SHULZ/TEN BOREL/TEN SONALY/GIULIANE</v>
      </c>
    </row>
    <row r="37" ht="43.5" customHeight="1">
      <c r="A37" s="125" t="s">
        <v>20</v>
      </c>
      <c r="B37" s="125" t="str">
        <f>IFERROR(__xludf.DUMMYFUNCTION("""COMPUTED_VALUE"""),"Máquinas, Ferramentas e Utensílios de Oficina")</f>
        <v>Máquinas, Ferramentas e Utensílios de Oficina</v>
      </c>
      <c r="C37" s="125" t="str">
        <f>IFERROR(__xludf.DUMMYFUNCTION("""COMPUTED_VALUE"""),"4 - INVESTIMENTOS")</f>
        <v>4 - INVESTIMENTOS</v>
      </c>
      <c r="D37" s="126" t="str">
        <f>IFERROR(__xludf.DUMMYFUNCTION("""COMPUTED_VALUE"""),"PREFEITURA DAL")</f>
        <v>PREFEITURA DAL</v>
      </c>
      <c r="E37" s="125" t="str">
        <f>IFERROR(__xludf.DUMMYFUNCTION("""COMPUTED_VALUE"""),"RECURSOS VINCULADOS DO TESOURO")</f>
        <v>RECURSOS VINCULADOS DO TESOURO</v>
      </c>
      <c r="F37" s="125" t="str">
        <f>IFERROR(__xludf.DUMMYFUNCTION("""COMPUTED_VALUE"""),"NOVA")</f>
        <v>NOVA</v>
      </c>
      <c r="G37" s="127">
        <f>IFERROR(__xludf.DUMMYFUNCTION("""COMPUTED_VALUE"""),46266.0)</f>
        <v>46266</v>
      </c>
      <c r="H37" s="125" t="str">
        <f>IFERROR(__xludf.DUMMYFUNCTION("""COMPUTED_VALUE"""),"UN")</f>
        <v>UN</v>
      </c>
      <c r="I37" s="128">
        <f>IFERROR(__xludf.DUMMYFUNCTION("""COMPUTED_VALUE"""),22.0)</f>
        <v>22</v>
      </c>
      <c r="J37" s="126">
        <f>IFERROR(__xludf.DUMMYFUNCTION("""COMPUTED_VALUE"""),261956.0)</f>
        <v>261956</v>
      </c>
      <c r="K37" s="126" t="str">
        <f>IFERROR(__xludf.DUMMYFUNCTION("""COMPUTED_VALUE"""),"MAJ QOCBM MARCIO DA COSTA CAVACHINI, NF 2758512")</f>
        <v>MAJ QOCBM MARCIO DA COSTA CAVACHINI, NF 2758512</v>
      </c>
    </row>
    <row r="38" ht="43.5" customHeight="1">
      <c r="A38" s="125" t="s">
        <v>20</v>
      </c>
      <c r="B38" s="125" t="str">
        <f>IFERROR(__xludf.DUMMYFUNCTION("""COMPUTED_VALUE"""),"Máquinas, Instalações e Utensílios de Escritório")</f>
        <v>Máquinas, Instalações e Utensílios de Escritório</v>
      </c>
      <c r="C38" s="125" t="str">
        <f>IFERROR(__xludf.DUMMYFUNCTION("""COMPUTED_VALUE"""),"4 - INVESTIMENTOS")</f>
        <v>4 - INVESTIMENTOS</v>
      </c>
      <c r="D38" s="126" t="str">
        <f>IFERROR(__xludf.DUMMYFUNCTION("""COMPUTED_VALUE"""),"CORREGEDORIA")</f>
        <v>CORREGEDORIA</v>
      </c>
      <c r="E38" s="125" t="str">
        <f>IFERROR(__xludf.DUMMYFUNCTION("""COMPUTED_VALUE"""),"RECURSOS EXTRAORÇAMENTÁRIOS")</f>
        <v>RECURSOS EXTRAORÇAMENTÁRIOS</v>
      </c>
      <c r="F38" s="125" t="str">
        <f>IFERROR(__xludf.DUMMYFUNCTION("""COMPUTED_VALUE"""),"NOVA")</f>
        <v>NOVA</v>
      </c>
      <c r="G38" s="127">
        <f>IFERROR(__xludf.DUMMYFUNCTION("""COMPUTED_VALUE"""),46174.0)</f>
        <v>46174</v>
      </c>
      <c r="H38" s="125" t="str">
        <f>IFERROR(__xludf.DUMMYFUNCTION("""COMPUTED_VALUE"""),"UN")</f>
        <v>UN</v>
      </c>
      <c r="I38" s="128">
        <f>IFERROR(__xludf.DUMMYFUNCTION("""COMPUTED_VALUE"""),2.0)</f>
        <v>2</v>
      </c>
      <c r="J38" s="126">
        <f>IFERROR(__xludf.DUMMYFUNCTION("""COMPUTED_VALUE"""),442.0)</f>
        <v>442</v>
      </c>
      <c r="K38" s="126" t="str">
        <f>IFERROR(__xludf.DUMMYFUNCTION("""COMPUTED_VALUE"""),"CAP CAVACHINI/CAP SHULZ/TEN BOREL/TEN SONALY/GIULIANE")</f>
        <v>CAP CAVACHINI/CAP SHULZ/TEN BOREL/TEN SONALY/GIULIANE</v>
      </c>
    </row>
    <row r="39" ht="43.5" customHeight="1">
      <c r="A39" s="125" t="s">
        <v>20</v>
      </c>
      <c r="B39" s="125" t="str">
        <f>IFERROR(__xludf.DUMMYFUNCTION("""COMPUTED_VALUE"""),"Máquinas, Utensílios e Equipamentos Diversos")</f>
        <v>Máquinas, Utensílios e Equipamentos Diversos</v>
      </c>
      <c r="C39" s="125" t="str">
        <f>IFERROR(__xludf.DUMMYFUNCTION("""COMPUTED_VALUE"""),"4 - INVESTIMENTOS")</f>
        <v>4 - INVESTIMENTOS</v>
      </c>
      <c r="D39" s="126" t="str">
        <f>IFERROR(__xludf.DUMMYFUNCTION("""COMPUTED_VALUE"""),"PREFEITURA DAL")</f>
        <v>PREFEITURA DAL</v>
      </c>
      <c r="E39" s="125" t="str">
        <f>IFERROR(__xludf.DUMMYFUNCTION("""COMPUTED_VALUE"""),"RECURSOS VINCULADOS DO TESOURO")</f>
        <v>RECURSOS VINCULADOS DO TESOURO</v>
      </c>
      <c r="F39" s="125" t="str">
        <f>IFERROR(__xludf.DUMMYFUNCTION("""COMPUTED_VALUE"""),"NOVA")</f>
        <v>NOVA</v>
      </c>
      <c r="G39" s="127">
        <f>IFERROR(__xludf.DUMMYFUNCTION("""COMPUTED_VALUE"""),46266.0)</f>
        <v>46266</v>
      </c>
      <c r="H39" s="125" t="str">
        <f>IFERROR(__xludf.DUMMYFUNCTION("""COMPUTED_VALUE"""),"UN")</f>
        <v>UN</v>
      </c>
      <c r="I39" s="128">
        <f>IFERROR(__xludf.DUMMYFUNCTION("""COMPUTED_VALUE"""),39.0)</f>
        <v>39</v>
      </c>
      <c r="J39" s="126">
        <f>IFERROR(__xludf.DUMMYFUNCTION("""COMPUTED_VALUE"""),121150.0)</f>
        <v>121150</v>
      </c>
      <c r="K39" s="126" t="str">
        <f>IFERROR(__xludf.DUMMYFUNCTION("""COMPUTED_VALUE"""),"MAJ QOCBM MARCIO DA COSTA CAVACHINI, NF 2758512")</f>
        <v>MAJ QOCBM MARCIO DA COSTA CAVACHINI, NF 2758512</v>
      </c>
    </row>
    <row r="40" ht="43.5" customHeight="1">
      <c r="A40" s="125" t="s">
        <v>20</v>
      </c>
      <c r="B40" s="125" t="str">
        <f>IFERROR(__xludf.DUMMYFUNCTION("""COMPUTED_VALUE"""),"Obras
de Benfeitoria ou Melhoria")</f>
        <v>Obras
de Benfeitoria ou Melhoria</v>
      </c>
      <c r="C40" s="125" t="str">
        <f>IFERROR(__xludf.DUMMYFUNCTION("""COMPUTED_VALUE"""),"3 - OUTRAS DESPESAS CORRENTES")</f>
        <v>3 - OUTRAS DESPESAS CORRENTES</v>
      </c>
      <c r="D40" s="126" t="str">
        <f>IFERROR(__xludf.DUMMYFUNCTION("""COMPUTED_VALUE"""),"GEA 2026")</f>
        <v>GEA 2026</v>
      </c>
      <c r="E40" s="125" t="str">
        <f>IFERROR(__xludf.DUMMYFUNCTION("""COMPUTED_VALUE"""),"RECURSOS VINCULADOS DO TESOURO")</f>
        <v>RECURSOS VINCULADOS DO TESOURO</v>
      </c>
      <c r="F40" s="125" t="str">
        <f>IFERROR(__xludf.DUMMYFUNCTION("""COMPUTED_VALUE"""),"NOVA")</f>
        <v>NOVA</v>
      </c>
      <c r="G40" s="127">
        <f>IFERROR(__xludf.DUMMYFUNCTION("""COMPUTED_VALUE"""),46174.0)</f>
        <v>46174</v>
      </c>
      <c r="H40" s="125" t="str">
        <f>IFERROR(__xludf.DUMMYFUNCTION("""COMPUTED_VALUE"""),"UN")</f>
        <v>UN</v>
      </c>
      <c r="I40" s="128">
        <f>IFERROR(__xludf.DUMMYFUNCTION("""COMPUTED_VALUE"""),1.0)</f>
        <v>1</v>
      </c>
      <c r="J40" s="126">
        <f>IFERROR(__xludf.DUMMYFUNCTION("""COMPUTED_VALUE"""),100000.0)</f>
        <v>100000</v>
      </c>
      <c r="K40" s="126"/>
    </row>
    <row r="41" ht="43.5" customHeight="1">
      <c r="A41" s="125" t="s">
        <v>20</v>
      </c>
      <c r="B41" s="125" t="str">
        <f>IFERROR(__xludf.DUMMYFUNCTION("""COMPUTED_VALUE"""),"Obras de Benfeitoria ou Melhoria")</f>
        <v>Obras de Benfeitoria ou Melhoria</v>
      </c>
      <c r="C41" s="125" t="str">
        <f>IFERROR(__xludf.DUMMYFUNCTION("""COMPUTED_VALUE"""),"3 - OUTRAS DESPESAS CORRENTES")</f>
        <v>3 - OUTRAS DESPESAS CORRENTES</v>
      </c>
      <c r="D41" s="126" t="str">
        <f>IFERROR(__xludf.DUMMYFUNCTION("""COMPUTED_VALUE"""),"5° CIA IND")</f>
        <v>5° CIA IND</v>
      </c>
      <c r="E41" s="125" t="str">
        <f>IFERROR(__xludf.DUMMYFUNCTION("""COMPUTED_VALUE"""),"RECURSOS VINCULADOS DO TESOURO")</f>
        <v>RECURSOS VINCULADOS DO TESOURO</v>
      </c>
      <c r="F41" s="125" t="str">
        <f>IFERROR(__xludf.DUMMYFUNCTION("""COMPUTED_VALUE"""),"NOVA")</f>
        <v>NOVA</v>
      </c>
      <c r="G41" s="127">
        <f>IFERROR(__xludf.DUMMYFUNCTION("""COMPUTED_VALUE"""),46174.0)</f>
        <v>46174</v>
      </c>
      <c r="H41" s="125" t="str">
        <f>IFERROR(__xludf.DUMMYFUNCTION("""COMPUTED_VALUE"""),"UN")</f>
        <v>UN</v>
      </c>
      <c r="I41" s="128">
        <f>IFERROR(__xludf.DUMMYFUNCTION("""COMPUTED_VALUE"""),1.0)</f>
        <v>1</v>
      </c>
      <c r="J41" s="126">
        <f>IFERROR(__xludf.DUMMYFUNCTION("""COMPUTED_VALUE"""),900.0)</f>
        <v>900</v>
      </c>
      <c r="K41" s="126" t="str">
        <f>IFERROR(__xludf.DUMMYFUNCTION("""COMPUTED_VALUE"""),"CAP CAVACHINI/CAP SHULZ/TEN BOREL/TEN SONALY/GIULIANE")</f>
        <v>CAP CAVACHINI/CAP SHULZ/TEN BOREL/TEN SONALY/GIULIANE</v>
      </c>
    </row>
    <row r="42" ht="43.5" customHeight="1">
      <c r="A42" s="125" t="s">
        <v>20</v>
      </c>
      <c r="B42" s="130" t="str">
        <f>IFERROR(__xludf.DUMMYFUNCTION("""COMPUTED_VALUE"""),"Obras de Benfeitoria ou Melhoria")</f>
        <v>Obras de Benfeitoria ou Melhoria</v>
      </c>
      <c r="C42" s="130" t="str">
        <f>IFERROR(__xludf.DUMMYFUNCTION("""COMPUTED_VALUE"""),"4 - INVESTIMENTOS")</f>
        <v>4 - INVESTIMENTOS</v>
      </c>
      <c r="D42" s="131" t="str">
        <f>IFERROR(__xludf.DUMMYFUNCTION("""COMPUTED_VALUE"""),"GEA 2026")</f>
        <v>GEA 2026</v>
      </c>
      <c r="E42" s="130" t="str">
        <f>IFERROR(__xludf.DUMMYFUNCTION("""COMPUTED_VALUE"""),"RECURSOS VINCULADOS DO TESOURO")</f>
        <v>RECURSOS VINCULADOS DO TESOURO</v>
      </c>
      <c r="F42" s="130" t="str">
        <f>IFERROR(__xludf.DUMMYFUNCTION("""COMPUTED_VALUE"""),"NOVA")</f>
        <v>NOVA</v>
      </c>
      <c r="G42" s="132">
        <f>IFERROR(__xludf.DUMMYFUNCTION("""COMPUTED_VALUE"""),46266.0)</f>
        <v>46266</v>
      </c>
      <c r="H42" s="130" t="str">
        <f>IFERROR(__xludf.DUMMYFUNCTION("""COMPUTED_VALUE"""),"UN")</f>
        <v>UN</v>
      </c>
      <c r="I42" s="133">
        <f>IFERROR(__xludf.DUMMYFUNCTION("""COMPUTED_VALUE"""),2.0)</f>
        <v>2</v>
      </c>
      <c r="J42" s="131">
        <f>IFERROR(__xludf.DUMMYFUNCTION("""COMPUTED_VALUE"""),500000.0)</f>
        <v>500000</v>
      </c>
      <c r="K42" s="131" t="str">
        <f>IFERROR(__xludf.DUMMYFUNCTION("""COMPUTED_VALUE"""),"CAP CAVACHINI/CAP SHULZ/TEN BOREL/TEN SONALY/GIULIANE")</f>
        <v>CAP CAVACHINI/CAP SHULZ/TEN BOREL/TEN SONALY/GIULIANE</v>
      </c>
    </row>
    <row r="43" ht="43.5" customHeight="1">
      <c r="A43" s="125" t="s">
        <v>20</v>
      </c>
      <c r="B43" s="130" t="str">
        <f>IFERROR(__xludf.DUMMYFUNCTION("""COMPUTED_VALUE"""),"Peças não incorporáveis a imóveis")</f>
        <v>Peças não incorporáveis a imóveis</v>
      </c>
      <c r="C43" s="130" t="str">
        <f>IFERROR(__xludf.DUMMYFUNCTION("""COMPUTED_VALUE"""),"3 - OUTRAS DESPESAS CORRENTES")</f>
        <v>3 - OUTRAS DESPESAS CORRENTES</v>
      </c>
      <c r="D43" s="131" t="str">
        <f>IFERROR(__xludf.DUMMYFUNCTION("""COMPUTED_VALUE"""),"1° CIA DO 4° BBM")</f>
        <v>1° CIA DO 4° BBM</v>
      </c>
      <c r="E43" s="130" t="str">
        <f>IFERROR(__xludf.DUMMYFUNCTION("""COMPUTED_VALUE"""),"RECURSOS VINCULADOS DO TESOURO")</f>
        <v>RECURSOS VINCULADOS DO TESOURO</v>
      </c>
      <c r="F43" s="130" t="str">
        <f>IFERROR(__xludf.DUMMYFUNCTION("""COMPUTED_VALUE"""),"NOVA")</f>
        <v>NOVA</v>
      </c>
      <c r="G43" s="132">
        <f>IFERROR(__xludf.DUMMYFUNCTION("""COMPUTED_VALUE"""),46235.0)</f>
        <v>46235</v>
      </c>
      <c r="H43" s="130" t="str">
        <f>IFERROR(__xludf.DUMMYFUNCTION("""COMPUTED_VALUE"""),"UN")</f>
        <v>UN</v>
      </c>
      <c r="I43" s="133">
        <f>IFERROR(__xludf.DUMMYFUNCTION("""COMPUTED_VALUE"""),25.0)</f>
        <v>25</v>
      </c>
      <c r="J43" s="131">
        <f>IFERROR(__xludf.DUMMYFUNCTION("""COMPUTED_VALUE"""),20000.0)</f>
        <v>20000</v>
      </c>
      <c r="K43" s="131" t="str">
        <f>IFERROR(__xludf.DUMMYFUNCTION("""COMPUTED_VALUE"""),"SERVIDORA CIVIL ALESSANDRA SANT´ANNA RUFINO, NF 2956667.")</f>
        <v>SERVIDORA CIVIL ALESSANDRA SANT´ANNA RUFINO, NF 2956667.</v>
      </c>
    </row>
    <row r="44" ht="43.5" customHeight="1">
      <c r="A44" s="125" t="s">
        <v>20</v>
      </c>
      <c r="B44" s="130" t="str">
        <f>IFERROR(__xludf.DUMMYFUNCTION("""COMPUTED_VALUE"""),"Serviços Técnicos Profissionais")</f>
        <v>Serviços Técnicos Profissionais</v>
      </c>
      <c r="C44" s="130" t="str">
        <f>IFERROR(__xludf.DUMMYFUNCTION("""COMPUTED_VALUE"""),"3 - OUTRAS DESPESAS CORRENTES")</f>
        <v>3 - OUTRAS DESPESAS CORRENTES</v>
      </c>
      <c r="D44" s="131" t="str">
        <f>IFERROR(__xludf.DUMMYFUNCTION("""COMPUTED_VALUE"""),"MERGULHO")</f>
        <v>MERGULHO</v>
      </c>
      <c r="E44" s="130" t="str">
        <f>IFERROR(__xludf.DUMMYFUNCTION("""COMPUTED_VALUE"""),"RECURSOS VINCULADOS DO TESOURO")</f>
        <v>RECURSOS VINCULADOS DO TESOURO</v>
      </c>
      <c r="F44" s="130" t="str">
        <f>IFERROR(__xludf.DUMMYFUNCTION("""COMPUTED_VALUE"""),"NOVA")</f>
        <v>NOVA</v>
      </c>
      <c r="G44" s="132">
        <f>IFERROR(__xludf.DUMMYFUNCTION("""COMPUTED_VALUE"""),46266.0)</f>
        <v>46266</v>
      </c>
      <c r="H44" s="130" t="str">
        <f>IFERROR(__xludf.DUMMYFUNCTION("""COMPUTED_VALUE"""),"UN")</f>
        <v>UN</v>
      </c>
      <c r="I44" s="133">
        <f>IFERROR(__xludf.DUMMYFUNCTION("""COMPUTED_VALUE"""),5.0)</f>
        <v>5</v>
      </c>
      <c r="J44" s="131">
        <f>IFERROR(__xludf.DUMMYFUNCTION("""COMPUTED_VALUE"""),2360000.0)</f>
        <v>2360000</v>
      </c>
      <c r="K44" s="131" t="str">
        <f>IFERROR(__xludf.DUMMYFUNCTION("""COMPUTED_VALUE"""),"MAJ QOCBM MARCIO DA COSTA CAVACHINI, NF 2758512")</f>
        <v>MAJ QOCBM MARCIO DA COSTA CAVACHINI, NF 2758512</v>
      </c>
    </row>
    <row r="45" ht="43.5" customHeight="1">
      <c r="A45" s="125" t="s">
        <v>20</v>
      </c>
      <c r="B45" s="130" t="str">
        <f>IFERROR(__xludf.DUMMYFUNCTION("""COMPUTED_VALUE"""),"Serviços Técnicos Profissionais")</f>
        <v>Serviços Técnicos Profissionais</v>
      </c>
      <c r="C45" s="130" t="str">
        <f>IFERROR(__xludf.DUMMYFUNCTION("""COMPUTED_VALUE"""),"4 - INVESTIMENTOS")</f>
        <v>4 - INVESTIMENTOS</v>
      </c>
      <c r="D45" s="131" t="str">
        <f>IFERROR(__xludf.DUMMYFUNCTION("""COMPUTED_VALUE"""),"MERGULHO")</f>
        <v>MERGULHO</v>
      </c>
      <c r="E45" s="130" t="str">
        <f>IFERROR(__xludf.DUMMYFUNCTION("""COMPUTED_VALUE"""),"RECURSOS VINCULADOS DO TESOURO")</f>
        <v>RECURSOS VINCULADOS DO TESOURO</v>
      </c>
      <c r="F45" s="130" t="str">
        <f>IFERROR(__xludf.DUMMYFUNCTION("""COMPUTED_VALUE"""),"NOVA")</f>
        <v>NOVA</v>
      </c>
      <c r="G45" s="132">
        <f>IFERROR(__xludf.DUMMYFUNCTION("""COMPUTED_VALUE"""),46266.0)</f>
        <v>46266</v>
      </c>
      <c r="H45" s="130" t="str">
        <f>IFERROR(__xludf.DUMMYFUNCTION("""COMPUTED_VALUE"""),"UN")</f>
        <v>UN</v>
      </c>
      <c r="I45" s="133">
        <f>IFERROR(__xludf.DUMMYFUNCTION("""COMPUTED_VALUE"""),1.0)</f>
        <v>1</v>
      </c>
      <c r="J45" s="131">
        <f>IFERROR(__xludf.DUMMYFUNCTION("""COMPUTED_VALUE"""),30000.0)</f>
        <v>30000</v>
      </c>
      <c r="K45" s="131"/>
    </row>
    <row r="46" ht="43.5" customHeight="1">
      <c r="A46" s="125" t="s">
        <v>20</v>
      </c>
      <c r="B46" s="130" t="str">
        <f>IFERROR(__xludf.DUMMYFUNCTION("""COMPUTED_VALUE"""),"TI - Equipamentos de Processamento de Dados")</f>
        <v>TI - Equipamentos de Processamento de Dados</v>
      </c>
      <c r="C46" s="130" t="str">
        <f>IFERROR(__xludf.DUMMYFUNCTION("""COMPUTED_VALUE"""),"4 - INVESTIMENTOS")</f>
        <v>4 - INVESTIMENTOS</v>
      </c>
      <c r="D46" s="131" t="str">
        <f>IFERROR(__xludf.DUMMYFUNCTION("""COMPUTED_VALUE"""),"PERÍCIA")</f>
        <v>PERÍCIA</v>
      </c>
      <c r="E46" s="130" t="str">
        <f>IFERROR(__xludf.DUMMYFUNCTION("""COMPUTED_VALUE"""),"RECURSOS VINCULADOS DO TESOURO")</f>
        <v>RECURSOS VINCULADOS DO TESOURO</v>
      </c>
      <c r="F46" s="130" t="str">
        <f>IFERROR(__xludf.DUMMYFUNCTION("""COMPUTED_VALUE"""),"NOVA")</f>
        <v>NOVA</v>
      </c>
      <c r="G46" s="132">
        <f>IFERROR(__xludf.DUMMYFUNCTION("""COMPUTED_VALUE"""),46266.0)</f>
        <v>46266</v>
      </c>
      <c r="H46" s="130" t="str">
        <f>IFERROR(__xludf.DUMMYFUNCTION("""COMPUTED_VALUE"""),"UN")</f>
        <v>UN</v>
      </c>
      <c r="I46" s="133">
        <f>IFERROR(__xludf.DUMMYFUNCTION("""COMPUTED_VALUE"""),16.0)</f>
        <v>16</v>
      </c>
      <c r="J46" s="131">
        <f>IFERROR(__xludf.DUMMYFUNCTION("""COMPUTED_VALUE"""),825000.0)</f>
        <v>825000</v>
      </c>
      <c r="K46" s="131" t="str">
        <f>IFERROR(__xludf.DUMMYFUNCTION("""COMPUTED_VALUE"""),"CAP CAVACHINI/CAP SHULZ/TEN BOREL/TEN SONALY/GIULIANE")</f>
        <v>CAP CAVACHINI/CAP SHULZ/TEN BOREL/TEN SONALY/GIULIANE</v>
      </c>
    </row>
    <row r="47" ht="43.5" customHeight="1">
      <c r="A47" s="125" t="s">
        <v>20</v>
      </c>
      <c r="B47" s="130" t="str">
        <f>IFERROR(__xludf.DUMMYFUNCTION("""COMPUTED_VALUE"""),"TI - Locações / Aquisição de Softwares")</f>
        <v>TI - Locações / Aquisição de Softwares</v>
      </c>
      <c r="C47" s="130" t="str">
        <f>IFERROR(__xludf.DUMMYFUNCTION("""COMPUTED_VALUE"""),"3 - OUTRAS DESPESAS CORRENTES")</f>
        <v>3 - OUTRAS DESPESAS CORRENTES</v>
      </c>
      <c r="D47" s="131" t="str">
        <f>IFERROR(__xludf.DUMMYFUNCTION("""COMPUTED_VALUE"""),"GTI 2026")</f>
        <v>GTI 2026</v>
      </c>
      <c r="E47" s="130" t="str">
        <f>IFERROR(__xludf.DUMMYFUNCTION("""COMPUTED_VALUE"""),"RECURSOS EXTRAORÇAMENTÁRIOS")</f>
        <v>RECURSOS EXTRAORÇAMENTÁRIOS</v>
      </c>
      <c r="F47" s="130" t="str">
        <f>IFERROR(__xludf.DUMMYFUNCTION("""COMPUTED_VALUE"""),"NOVA")</f>
        <v>NOVA</v>
      </c>
      <c r="G47" s="132">
        <f>IFERROR(__xludf.DUMMYFUNCTION("""COMPUTED_VALUE"""),46266.0)</f>
        <v>46266</v>
      </c>
      <c r="H47" s="130" t="str">
        <f>IFERROR(__xludf.DUMMYFUNCTION("""COMPUTED_VALUE"""),"UST")</f>
        <v>UST</v>
      </c>
      <c r="I47" s="133">
        <f>IFERROR(__xludf.DUMMYFUNCTION("""COMPUTED_VALUE"""),5012.0)</f>
        <v>5012</v>
      </c>
      <c r="J47" s="131">
        <f>IFERROR(__xludf.DUMMYFUNCTION("""COMPUTED_VALUE"""),847000.0)</f>
        <v>847000</v>
      </c>
      <c r="K47" s="131" t="str">
        <f>IFERROR(__xludf.DUMMYFUNCTION("""COMPUTED_VALUE"""),"SERVIDORA CIVIL ALESSANDRA SANT´ANNA RUFINO, NF 2956667.")</f>
        <v>SERVIDORA CIVIL ALESSANDRA SANT´ANNA RUFINO, NF 2956667.</v>
      </c>
    </row>
    <row r="48" ht="43.5" customHeight="1">
      <c r="A48" s="125" t="s">
        <v>20</v>
      </c>
      <c r="B48" s="130" t="str">
        <f>IFERROR(__xludf.DUMMYFUNCTION("""COMPUTED_VALUE"""),"TI - Locações / Aquisição de Softwares")</f>
        <v>TI - Locações / Aquisição de Softwares</v>
      </c>
      <c r="C48" s="130" t="str">
        <f>IFERROR(__xludf.DUMMYFUNCTION("""COMPUTED_VALUE"""),"4 - INVESTIMENTOS")</f>
        <v>4 - INVESTIMENTOS</v>
      </c>
      <c r="D48" s="131" t="str">
        <f>IFERROR(__xludf.DUMMYFUNCTION("""COMPUTED_VALUE"""),"PERÍCIA")</f>
        <v>PERÍCIA</v>
      </c>
      <c r="E48" s="130" t="str">
        <f>IFERROR(__xludf.DUMMYFUNCTION("""COMPUTED_VALUE"""),"RECURSOS EXTRAORÇAMENTÁRIOS")</f>
        <v>RECURSOS EXTRAORÇAMENTÁRIOS</v>
      </c>
      <c r="F48" s="130" t="str">
        <f>IFERROR(__xludf.DUMMYFUNCTION("""COMPUTED_VALUE"""),"NOVA")</f>
        <v>NOVA</v>
      </c>
      <c r="G48" s="132">
        <f>IFERROR(__xludf.DUMMYFUNCTION("""COMPUTED_VALUE"""),46235.0)</f>
        <v>46235</v>
      </c>
      <c r="H48" s="130" t="str">
        <f>IFERROR(__xludf.DUMMYFUNCTION("""COMPUTED_VALUE"""),"UN")</f>
        <v>UN</v>
      </c>
      <c r="I48" s="133">
        <f>IFERROR(__xludf.DUMMYFUNCTION("""COMPUTED_VALUE"""),1.0)</f>
        <v>1</v>
      </c>
      <c r="J48" s="131">
        <f>IFERROR(__xludf.DUMMYFUNCTION("""COMPUTED_VALUE"""),35000.0)</f>
        <v>35000</v>
      </c>
      <c r="K48" s="131" t="str">
        <f>IFERROR(__xludf.DUMMYFUNCTION("""COMPUTED_VALUE"""),"CAP CAVACHINI/CAP SHULZ/TEN BOREL/TEN SONALY/GIULIANE")</f>
        <v>CAP CAVACHINI/CAP SHULZ/TEN BOREL/TEN SONALY/GIULIANE</v>
      </c>
    </row>
    <row r="49" ht="43.5" customHeight="1">
      <c r="A49" s="130"/>
      <c r="B49" s="130"/>
      <c r="C49" s="130"/>
      <c r="D49" s="131"/>
      <c r="E49" s="130"/>
      <c r="F49" s="130"/>
      <c r="G49" s="130"/>
      <c r="H49" s="130"/>
      <c r="I49" s="133"/>
      <c r="J49" s="131"/>
      <c r="K49" s="131"/>
    </row>
    <row r="50" ht="43.5" customHeight="1">
      <c r="A50" s="130"/>
      <c r="B50" s="130"/>
      <c r="C50" s="130"/>
      <c r="D50" s="131"/>
      <c r="E50" s="130"/>
      <c r="F50" s="130"/>
      <c r="G50" s="130"/>
      <c r="H50" s="130"/>
      <c r="I50" s="133"/>
      <c r="J50" s="131"/>
      <c r="K50" s="131"/>
    </row>
    <row r="51" ht="43.5" customHeight="1">
      <c r="A51" s="130"/>
      <c r="B51" s="130"/>
      <c r="C51" s="130"/>
      <c r="D51" s="131"/>
      <c r="E51" s="130"/>
      <c r="F51" s="130"/>
      <c r="G51" s="130"/>
      <c r="H51" s="130"/>
      <c r="I51" s="133"/>
      <c r="J51" s="131"/>
      <c r="K51" s="131"/>
    </row>
    <row r="52" ht="43.5" customHeight="1">
      <c r="A52" s="130"/>
      <c r="B52" s="130"/>
      <c r="C52" s="130"/>
      <c r="D52" s="131"/>
      <c r="E52" s="130"/>
      <c r="F52" s="130"/>
      <c r="G52" s="130"/>
      <c r="H52" s="130"/>
      <c r="I52" s="133"/>
      <c r="J52" s="131"/>
      <c r="K52" s="131"/>
    </row>
    <row r="53" ht="43.5" customHeight="1">
      <c r="A53" s="130"/>
      <c r="B53" s="130"/>
      <c r="C53" s="130"/>
      <c r="D53" s="131"/>
      <c r="E53" s="130"/>
      <c r="F53" s="130"/>
      <c r="G53" s="130"/>
      <c r="H53" s="130"/>
      <c r="I53" s="133"/>
      <c r="J53" s="131"/>
      <c r="K53" s="131"/>
    </row>
    <row r="54" ht="43.5" customHeight="1">
      <c r="A54" s="130"/>
      <c r="B54" s="130"/>
      <c r="C54" s="130"/>
      <c r="D54" s="131"/>
      <c r="E54" s="130"/>
      <c r="F54" s="130"/>
      <c r="G54" s="130"/>
      <c r="H54" s="130"/>
      <c r="I54" s="133"/>
      <c r="J54" s="131"/>
      <c r="K54" s="131"/>
    </row>
    <row r="55" ht="43.5" customHeight="1">
      <c r="A55" s="130"/>
      <c r="B55" s="130"/>
      <c r="C55" s="130"/>
      <c r="D55" s="131"/>
      <c r="E55" s="130"/>
      <c r="F55" s="130"/>
      <c r="G55" s="130"/>
      <c r="H55" s="130"/>
      <c r="I55" s="133"/>
      <c r="J55" s="131"/>
      <c r="K55" s="131"/>
    </row>
    <row r="56" ht="43.5" customHeight="1">
      <c r="A56" s="130"/>
      <c r="B56" s="130"/>
      <c r="C56" s="130"/>
      <c r="D56" s="131"/>
      <c r="E56" s="130"/>
      <c r="F56" s="130"/>
      <c r="G56" s="130"/>
      <c r="H56" s="130"/>
      <c r="I56" s="133"/>
      <c r="J56" s="131"/>
      <c r="K56" s="131"/>
    </row>
    <row r="57" ht="43.5" customHeight="1">
      <c r="A57" s="130"/>
      <c r="B57" s="130"/>
      <c r="C57" s="130"/>
      <c r="D57" s="131"/>
      <c r="E57" s="130"/>
      <c r="F57" s="130"/>
      <c r="G57" s="130"/>
      <c r="H57" s="130"/>
      <c r="I57" s="133"/>
      <c r="J57" s="131"/>
      <c r="K57" s="131"/>
    </row>
    <row r="58" ht="43.5" customHeight="1">
      <c r="A58" s="130"/>
      <c r="B58" s="130"/>
      <c r="C58" s="130"/>
      <c r="D58" s="131"/>
      <c r="E58" s="130"/>
      <c r="F58" s="130"/>
      <c r="G58" s="130"/>
      <c r="H58" s="130"/>
      <c r="I58" s="133"/>
      <c r="J58" s="131"/>
      <c r="K58" s="131"/>
    </row>
    <row r="59" ht="43.5" customHeight="1">
      <c r="A59" s="130"/>
      <c r="B59" s="130"/>
      <c r="C59" s="130"/>
      <c r="D59" s="131"/>
      <c r="E59" s="130"/>
      <c r="F59" s="130"/>
      <c r="G59" s="130"/>
      <c r="H59" s="130"/>
      <c r="I59" s="133"/>
      <c r="J59" s="131"/>
      <c r="K59" s="131"/>
    </row>
    <row r="60" ht="43.5" customHeight="1">
      <c r="A60" s="130"/>
      <c r="B60" s="130"/>
      <c r="C60" s="130"/>
      <c r="D60" s="131"/>
      <c r="E60" s="130"/>
      <c r="F60" s="130"/>
      <c r="G60" s="130"/>
      <c r="H60" s="130"/>
      <c r="I60" s="133"/>
      <c r="J60" s="131"/>
      <c r="K60" s="131"/>
    </row>
    <row r="61" ht="43.5" customHeight="1">
      <c r="A61" s="130"/>
      <c r="B61" s="130"/>
      <c r="C61" s="130"/>
      <c r="D61" s="131"/>
      <c r="E61" s="130"/>
      <c r="F61" s="130"/>
      <c r="G61" s="130"/>
      <c r="H61" s="130"/>
      <c r="I61" s="133"/>
      <c r="J61" s="131"/>
      <c r="K61" s="131"/>
    </row>
    <row r="62" ht="43.5" customHeight="1">
      <c r="A62" s="130"/>
      <c r="B62" s="130"/>
      <c r="C62" s="130"/>
      <c r="D62" s="131"/>
      <c r="E62" s="130"/>
      <c r="F62" s="130"/>
      <c r="G62" s="130"/>
      <c r="H62" s="130"/>
      <c r="I62" s="133"/>
      <c r="J62" s="131"/>
      <c r="K62" s="131"/>
    </row>
    <row r="63" ht="43.5" customHeight="1">
      <c r="A63" s="130"/>
      <c r="B63" s="130"/>
      <c r="C63" s="130"/>
      <c r="D63" s="131"/>
      <c r="E63" s="130"/>
      <c r="F63" s="130"/>
      <c r="G63" s="130"/>
      <c r="H63" s="130"/>
      <c r="I63" s="133"/>
      <c r="J63" s="131"/>
      <c r="K63" s="131"/>
    </row>
    <row r="64" ht="43.5" customHeight="1">
      <c r="A64" s="130"/>
      <c r="B64" s="130"/>
      <c r="C64" s="130"/>
      <c r="D64" s="131"/>
      <c r="E64" s="130"/>
      <c r="F64" s="130"/>
      <c r="G64" s="130"/>
      <c r="H64" s="130"/>
      <c r="I64" s="133"/>
      <c r="J64" s="131"/>
      <c r="K64" s="131"/>
    </row>
    <row r="65" ht="43.5" customHeight="1">
      <c r="A65" s="130"/>
      <c r="B65" s="130"/>
      <c r="C65" s="130"/>
      <c r="D65" s="131"/>
      <c r="E65" s="130"/>
      <c r="F65" s="130"/>
      <c r="G65" s="130"/>
      <c r="H65" s="130"/>
      <c r="I65" s="133"/>
      <c r="J65" s="131"/>
      <c r="K65" s="131"/>
    </row>
    <row r="66" ht="43.5" customHeight="1">
      <c r="A66" s="130"/>
      <c r="B66" s="130"/>
      <c r="C66" s="130"/>
      <c r="D66" s="131"/>
      <c r="E66" s="130"/>
      <c r="F66" s="130"/>
      <c r="G66" s="130"/>
      <c r="H66" s="130"/>
      <c r="I66" s="133"/>
      <c r="J66" s="131"/>
      <c r="K66" s="131"/>
    </row>
    <row r="67" ht="43.5" customHeight="1">
      <c r="A67" s="130"/>
      <c r="B67" s="130"/>
      <c r="C67" s="130"/>
      <c r="D67" s="131"/>
      <c r="E67" s="130"/>
      <c r="F67" s="130"/>
      <c r="G67" s="130"/>
      <c r="H67" s="130"/>
      <c r="I67" s="133"/>
      <c r="J67" s="131"/>
      <c r="K67" s="131"/>
    </row>
    <row r="68" ht="43.5" customHeight="1">
      <c r="A68" s="130"/>
      <c r="B68" s="130"/>
      <c r="C68" s="130"/>
      <c r="D68" s="131"/>
      <c r="E68" s="130"/>
      <c r="F68" s="130"/>
      <c r="G68" s="130"/>
      <c r="H68" s="130"/>
      <c r="I68" s="133"/>
      <c r="J68" s="131"/>
      <c r="K68" s="131"/>
    </row>
    <row r="69" ht="43.5" customHeight="1">
      <c r="A69" s="130"/>
      <c r="B69" s="130"/>
      <c r="C69" s="130"/>
      <c r="D69" s="131"/>
      <c r="E69" s="130"/>
      <c r="F69" s="130"/>
      <c r="G69" s="130"/>
      <c r="H69" s="130"/>
      <c r="I69" s="133"/>
      <c r="J69" s="131"/>
      <c r="K69" s="131"/>
    </row>
    <row r="70" ht="43.5" customHeight="1">
      <c r="A70" s="130"/>
      <c r="B70" s="130"/>
      <c r="C70" s="130"/>
      <c r="D70" s="131"/>
      <c r="E70" s="130"/>
      <c r="F70" s="130"/>
      <c r="G70" s="130"/>
      <c r="H70" s="130"/>
      <c r="I70" s="133"/>
      <c r="J70" s="131"/>
      <c r="K70" s="131"/>
    </row>
    <row r="71" ht="43.5" customHeight="1">
      <c r="A71" s="130"/>
      <c r="B71" s="130"/>
      <c r="C71" s="130"/>
      <c r="D71" s="131"/>
      <c r="E71" s="130"/>
      <c r="F71" s="130"/>
      <c r="G71" s="130"/>
      <c r="H71" s="130"/>
      <c r="I71" s="133"/>
      <c r="J71" s="131"/>
      <c r="K71" s="131"/>
    </row>
    <row r="72" ht="43.5" customHeight="1">
      <c r="A72" s="130"/>
      <c r="B72" s="130"/>
      <c r="C72" s="130"/>
      <c r="D72" s="131"/>
      <c r="E72" s="130"/>
      <c r="F72" s="130"/>
      <c r="G72" s="130"/>
      <c r="H72" s="130"/>
      <c r="I72" s="133"/>
      <c r="J72" s="131"/>
      <c r="K72" s="131"/>
    </row>
    <row r="73" ht="43.5" customHeight="1">
      <c r="A73" s="130"/>
      <c r="B73" s="130"/>
      <c r="C73" s="130"/>
      <c r="D73" s="131"/>
      <c r="E73" s="130"/>
      <c r="F73" s="130"/>
      <c r="G73" s="130"/>
      <c r="H73" s="130"/>
      <c r="I73" s="133"/>
      <c r="J73" s="131"/>
      <c r="K73" s="131"/>
    </row>
    <row r="74" ht="43.5" customHeight="1">
      <c r="A74" s="130"/>
      <c r="B74" s="130"/>
      <c r="C74" s="130"/>
      <c r="D74" s="131"/>
      <c r="E74" s="130"/>
      <c r="F74" s="130"/>
      <c r="G74" s="130"/>
      <c r="H74" s="130"/>
      <c r="I74" s="133"/>
      <c r="J74" s="131"/>
      <c r="K74" s="131"/>
    </row>
    <row r="75" ht="43.5" customHeight="1">
      <c r="A75" s="130"/>
      <c r="B75" s="130"/>
      <c r="C75" s="130"/>
      <c r="D75" s="131"/>
      <c r="E75" s="130"/>
      <c r="F75" s="130"/>
      <c r="G75" s="130"/>
      <c r="H75" s="130"/>
      <c r="I75" s="133"/>
      <c r="J75" s="131"/>
      <c r="K75" s="131"/>
    </row>
    <row r="76" ht="43.5" customHeight="1">
      <c r="A76" s="130"/>
      <c r="B76" s="130"/>
      <c r="C76" s="130"/>
      <c r="D76" s="131"/>
      <c r="E76" s="130"/>
      <c r="F76" s="130"/>
      <c r="G76" s="130"/>
      <c r="H76" s="130"/>
      <c r="I76" s="133"/>
      <c r="J76" s="131"/>
      <c r="K76" s="131"/>
    </row>
    <row r="77" ht="43.5" customHeight="1">
      <c r="A77" s="130"/>
      <c r="B77" s="130"/>
      <c r="C77" s="130"/>
      <c r="D77" s="131"/>
      <c r="E77" s="130"/>
      <c r="F77" s="130"/>
      <c r="G77" s="130"/>
      <c r="H77" s="130"/>
      <c r="I77" s="133"/>
      <c r="J77" s="131"/>
      <c r="K77" s="131"/>
    </row>
    <row r="78" ht="43.5" customHeight="1">
      <c r="A78" s="130"/>
      <c r="B78" s="130"/>
      <c r="C78" s="130"/>
      <c r="D78" s="131"/>
      <c r="E78" s="130"/>
      <c r="F78" s="130"/>
      <c r="G78" s="130"/>
      <c r="H78" s="130"/>
      <c r="I78" s="133"/>
      <c r="J78" s="131"/>
      <c r="K78" s="131"/>
    </row>
    <row r="79" ht="43.5" customHeight="1">
      <c r="A79" s="130"/>
      <c r="B79" s="130"/>
      <c r="C79" s="130"/>
      <c r="D79" s="131"/>
      <c r="E79" s="130"/>
      <c r="F79" s="130"/>
      <c r="G79" s="130"/>
      <c r="H79" s="130"/>
      <c r="I79" s="133"/>
      <c r="J79" s="131"/>
      <c r="K79" s="131"/>
    </row>
    <row r="80" ht="43.5" customHeight="1">
      <c r="A80" s="130"/>
      <c r="B80" s="130"/>
      <c r="C80" s="130"/>
      <c r="D80" s="131"/>
      <c r="E80" s="130"/>
      <c r="F80" s="130"/>
      <c r="G80" s="130"/>
      <c r="H80" s="130"/>
      <c r="I80" s="133"/>
      <c r="J80" s="131"/>
      <c r="K80" s="131"/>
    </row>
    <row r="81" ht="43.5" customHeight="1">
      <c r="A81" s="130"/>
      <c r="B81" s="130"/>
      <c r="C81" s="130"/>
      <c r="D81" s="131"/>
      <c r="E81" s="130"/>
      <c r="F81" s="130"/>
      <c r="G81" s="130"/>
      <c r="H81" s="130"/>
      <c r="I81" s="133"/>
      <c r="J81" s="131"/>
      <c r="K81" s="131"/>
    </row>
    <row r="82" ht="43.5" customHeight="1">
      <c r="A82" s="130"/>
      <c r="B82" s="130"/>
      <c r="C82" s="130"/>
      <c r="D82" s="131"/>
      <c r="E82" s="130"/>
      <c r="F82" s="130"/>
      <c r="G82" s="130"/>
      <c r="H82" s="130"/>
      <c r="I82" s="133"/>
      <c r="J82" s="131"/>
      <c r="K82" s="131"/>
    </row>
    <row r="83" ht="43.5" customHeight="1">
      <c r="A83" s="130"/>
      <c r="B83" s="130"/>
      <c r="C83" s="130"/>
      <c r="D83" s="131"/>
      <c r="E83" s="130"/>
      <c r="F83" s="130"/>
      <c r="G83" s="130"/>
      <c r="H83" s="130"/>
      <c r="I83" s="133"/>
      <c r="J83" s="131"/>
      <c r="K83" s="131"/>
    </row>
    <row r="84" ht="43.5" customHeight="1">
      <c r="A84" s="130"/>
      <c r="B84" s="130"/>
      <c r="C84" s="130"/>
      <c r="D84" s="131"/>
      <c r="E84" s="130"/>
      <c r="F84" s="130"/>
      <c r="G84" s="130"/>
      <c r="H84" s="130"/>
      <c r="I84" s="133"/>
      <c r="J84" s="131"/>
      <c r="K84" s="131"/>
    </row>
    <row r="85" ht="43.5" customHeight="1">
      <c r="A85" s="130"/>
      <c r="B85" s="130"/>
      <c r="C85" s="130"/>
      <c r="D85" s="131"/>
      <c r="E85" s="130"/>
      <c r="F85" s="130"/>
      <c r="G85" s="130"/>
      <c r="H85" s="130"/>
      <c r="I85" s="133"/>
      <c r="J85" s="131"/>
      <c r="K85" s="131"/>
    </row>
    <row r="86" ht="43.5" customHeight="1">
      <c r="A86" s="130"/>
      <c r="B86" s="130"/>
      <c r="C86" s="130"/>
      <c r="D86" s="131"/>
      <c r="E86" s="130"/>
      <c r="F86" s="130"/>
      <c r="G86" s="130"/>
      <c r="H86" s="130"/>
      <c r="I86" s="133"/>
      <c r="J86" s="131"/>
      <c r="K86" s="131"/>
    </row>
    <row r="87" ht="43.5" customHeight="1">
      <c r="A87" s="130"/>
      <c r="B87" s="130"/>
      <c r="C87" s="130"/>
      <c r="D87" s="131"/>
      <c r="E87" s="130"/>
      <c r="F87" s="130"/>
      <c r="G87" s="130"/>
      <c r="H87" s="130"/>
      <c r="I87" s="133"/>
      <c r="J87" s="131"/>
      <c r="K87" s="131"/>
    </row>
    <row r="88" ht="43.5" customHeight="1">
      <c r="A88" s="130"/>
      <c r="B88" s="130"/>
      <c r="C88" s="130"/>
      <c r="D88" s="131"/>
      <c r="E88" s="130"/>
      <c r="F88" s="130"/>
      <c r="G88" s="130"/>
      <c r="H88" s="130"/>
      <c r="I88" s="133"/>
      <c r="J88" s="131"/>
      <c r="K88" s="131"/>
    </row>
    <row r="89" ht="43.5" customHeight="1">
      <c r="A89" s="130"/>
      <c r="B89" s="130"/>
      <c r="C89" s="130"/>
      <c r="D89" s="131"/>
      <c r="E89" s="130"/>
      <c r="F89" s="130"/>
      <c r="G89" s="130"/>
      <c r="H89" s="130"/>
      <c r="I89" s="133"/>
      <c r="J89" s="131"/>
      <c r="K89" s="131"/>
    </row>
    <row r="90" ht="43.5" customHeight="1">
      <c r="A90" s="130"/>
      <c r="B90" s="130"/>
      <c r="C90" s="130"/>
      <c r="D90" s="131"/>
      <c r="E90" s="130"/>
      <c r="F90" s="130"/>
      <c r="G90" s="130"/>
      <c r="H90" s="130"/>
      <c r="I90" s="133"/>
      <c r="J90" s="131"/>
      <c r="K90" s="131"/>
    </row>
    <row r="91" ht="43.5" customHeight="1">
      <c r="A91" s="130"/>
      <c r="B91" s="130"/>
      <c r="C91" s="130"/>
      <c r="D91" s="131"/>
      <c r="E91" s="130"/>
      <c r="F91" s="130"/>
      <c r="G91" s="130"/>
      <c r="H91" s="130"/>
      <c r="I91" s="133"/>
      <c r="J91" s="131"/>
      <c r="K91" s="131"/>
    </row>
    <row r="92" ht="43.5" customHeight="1">
      <c r="A92" s="130"/>
      <c r="B92" s="130"/>
      <c r="C92" s="130"/>
      <c r="D92" s="131"/>
      <c r="E92" s="130"/>
      <c r="F92" s="130"/>
      <c r="G92" s="130"/>
      <c r="H92" s="130"/>
      <c r="I92" s="133"/>
      <c r="J92" s="131"/>
      <c r="K92" s="131"/>
    </row>
    <row r="93" ht="43.5" customHeight="1">
      <c r="A93" s="130"/>
      <c r="B93" s="130"/>
      <c r="C93" s="130"/>
      <c r="D93" s="131"/>
      <c r="E93" s="130"/>
      <c r="F93" s="130"/>
      <c r="G93" s="130"/>
      <c r="H93" s="130"/>
      <c r="I93" s="133"/>
      <c r="J93" s="131"/>
      <c r="K93" s="131"/>
    </row>
    <row r="94" ht="43.5" customHeight="1">
      <c r="A94" s="130"/>
      <c r="B94" s="130"/>
      <c r="C94" s="130"/>
      <c r="D94" s="131"/>
      <c r="E94" s="130"/>
      <c r="F94" s="130"/>
      <c r="G94" s="130"/>
      <c r="H94" s="130"/>
      <c r="I94" s="133"/>
      <c r="J94" s="131"/>
      <c r="K94" s="131"/>
    </row>
    <row r="95" ht="43.5" customHeight="1">
      <c r="A95" s="130"/>
      <c r="B95" s="130"/>
      <c r="C95" s="130"/>
      <c r="D95" s="131"/>
      <c r="E95" s="130"/>
      <c r="F95" s="130"/>
      <c r="G95" s="130"/>
      <c r="H95" s="130"/>
      <c r="I95" s="133"/>
      <c r="J95" s="131"/>
      <c r="K95" s="131"/>
    </row>
    <row r="96" ht="43.5" customHeight="1">
      <c r="A96" s="130"/>
      <c r="B96" s="130"/>
      <c r="C96" s="130"/>
      <c r="D96" s="131"/>
      <c r="E96" s="130"/>
      <c r="F96" s="130"/>
      <c r="G96" s="130"/>
      <c r="H96" s="130"/>
      <c r="I96" s="133"/>
      <c r="J96" s="131"/>
      <c r="K96" s="131"/>
    </row>
    <row r="97" ht="43.5" customHeight="1">
      <c r="A97" s="130"/>
      <c r="B97" s="130"/>
      <c r="C97" s="130"/>
      <c r="D97" s="131"/>
      <c r="E97" s="130"/>
      <c r="F97" s="130"/>
      <c r="G97" s="130"/>
      <c r="H97" s="130"/>
      <c r="I97" s="133"/>
      <c r="J97" s="131"/>
      <c r="K97" s="131"/>
    </row>
    <row r="98" ht="43.5" customHeight="1">
      <c r="A98" s="130"/>
      <c r="B98" s="130"/>
      <c r="C98" s="130"/>
      <c r="D98" s="131"/>
      <c r="E98" s="130"/>
      <c r="F98" s="130"/>
      <c r="G98" s="130"/>
      <c r="H98" s="130"/>
      <c r="I98" s="133"/>
      <c r="J98" s="131"/>
      <c r="K98" s="131"/>
    </row>
    <row r="99" ht="43.5" customHeight="1">
      <c r="A99" s="130"/>
      <c r="B99" s="130"/>
      <c r="C99" s="130"/>
      <c r="D99" s="131"/>
      <c r="E99" s="130"/>
      <c r="F99" s="130"/>
      <c r="G99" s="130"/>
      <c r="H99" s="130"/>
      <c r="I99" s="133"/>
      <c r="J99" s="131"/>
      <c r="K99" s="131"/>
    </row>
    <row r="100" ht="43.5" customHeight="1">
      <c r="A100" s="130"/>
      <c r="B100" s="130"/>
      <c r="C100" s="130"/>
      <c r="D100" s="131"/>
      <c r="E100" s="130"/>
      <c r="F100" s="130"/>
      <c r="G100" s="130"/>
      <c r="H100" s="130"/>
      <c r="I100" s="133"/>
      <c r="J100" s="131"/>
      <c r="K100" s="131"/>
    </row>
    <row r="101" ht="43.5" customHeight="1">
      <c r="A101" s="130"/>
      <c r="B101" s="130"/>
      <c r="C101" s="130"/>
      <c r="D101" s="131"/>
      <c r="E101" s="130"/>
      <c r="F101" s="130"/>
      <c r="G101" s="130"/>
      <c r="H101" s="130"/>
      <c r="I101" s="133"/>
      <c r="J101" s="131"/>
      <c r="K101" s="131"/>
    </row>
    <row r="102" ht="43.5" customHeight="1">
      <c r="A102" s="130"/>
      <c r="B102" s="130"/>
      <c r="C102" s="130"/>
      <c r="D102" s="131"/>
      <c r="E102" s="130"/>
      <c r="F102" s="130"/>
      <c r="G102" s="130"/>
      <c r="H102" s="130"/>
      <c r="I102" s="133"/>
      <c r="J102" s="131"/>
      <c r="K102" s="131"/>
    </row>
    <row r="103" ht="43.5" customHeight="1">
      <c r="A103" s="130"/>
      <c r="B103" s="130"/>
      <c r="C103" s="130"/>
      <c r="D103" s="131"/>
      <c r="E103" s="130"/>
      <c r="F103" s="130"/>
      <c r="G103" s="130"/>
      <c r="H103" s="130"/>
      <c r="I103" s="133"/>
      <c r="J103" s="131"/>
      <c r="K103" s="131"/>
    </row>
    <row r="104" ht="43.5" customHeight="1">
      <c r="A104" s="130"/>
      <c r="B104" s="130"/>
      <c r="C104" s="130"/>
      <c r="D104" s="131"/>
      <c r="E104" s="130"/>
      <c r="F104" s="130"/>
      <c r="G104" s="130"/>
      <c r="H104" s="130"/>
      <c r="I104" s="133"/>
      <c r="J104" s="131"/>
      <c r="K104" s="131"/>
    </row>
    <row r="105" ht="43.5" customHeight="1">
      <c r="A105" s="130"/>
      <c r="B105" s="130"/>
      <c r="C105" s="130"/>
      <c r="D105" s="131"/>
      <c r="E105" s="130"/>
      <c r="F105" s="130"/>
      <c r="G105" s="130"/>
      <c r="H105" s="130"/>
      <c r="I105" s="133"/>
      <c r="J105" s="131"/>
      <c r="K105" s="131"/>
    </row>
    <row r="106" ht="43.5" customHeight="1">
      <c r="A106" s="130"/>
      <c r="B106" s="130"/>
      <c r="C106" s="130"/>
      <c r="D106" s="131"/>
      <c r="E106" s="130"/>
      <c r="F106" s="130"/>
      <c r="G106" s="130"/>
      <c r="H106" s="130"/>
      <c r="I106" s="133"/>
      <c r="J106" s="131"/>
      <c r="K106" s="131"/>
    </row>
    <row r="107" ht="43.5" customHeight="1">
      <c r="A107" s="130"/>
      <c r="B107" s="130"/>
      <c r="C107" s="130"/>
      <c r="D107" s="131"/>
      <c r="E107" s="130"/>
      <c r="F107" s="130"/>
      <c r="G107" s="130"/>
      <c r="H107" s="130"/>
      <c r="I107" s="133"/>
      <c r="J107" s="131"/>
      <c r="K107" s="131"/>
    </row>
    <row r="108" ht="43.5" customHeight="1">
      <c r="A108" s="130"/>
      <c r="B108" s="130"/>
      <c r="C108" s="130"/>
      <c r="D108" s="131"/>
      <c r="E108" s="130"/>
      <c r="F108" s="130"/>
      <c r="G108" s="130"/>
      <c r="H108" s="130"/>
      <c r="I108" s="133"/>
      <c r="J108" s="131"/>
      <c r="K108" s="131"/>
    </row>
    <row r="109" ht="43.5" customHeight="1">
      <c r="A109" s="130"/>
      <c r="B109" s="130"/>
      <c r="C109" s="130"/>
      <c r="D109" s="131"/>
      <c r="E109" s="130"/>
      <c r="F109" s="130"/>
      <c r="G109" s="130"/>
      <c r="H109" s="130"/>
      <c r="I109" s="133"/>
      <c r="J109" s="131"/>
      <c r="K109" s="131"/>
    </row>
    <row r="110" ht="43.5" customHeight="1">
      <c r="A110" s="130"/>
      <c r="B110" s="130"/>
      <c r="C110" s="130"/>
      <c r="D110" s="131"/>
      <c r="E110" s="130"/>
      <c r="F110" s="130"/>
      <c r="G110" s="130"/>
      <c r="H110" s="130"/>
      <c r="I110" s="133"/>
      <c r="J110" s="131"/>
      <c r="K110" s="131"/>
    </row>
    <row r="111" ht="43.5" customHeight="1">
      <c r="A111" s="130"/>
      <c r="B111" s="130"/>
      <c r="C111" s="130"/>
      <c r="D111" s="131"/>
      <c r="E111" s="130"/>
      <c r="F111" s="130"/>
      <c r="G111" s="130"/>
      <c r="H111" s="130"/>
      <c r="I111" s="133"/>
      <c r="J111" s="131"/>
      <c r="K111" s="131"/>
    </row>
    <row r="112" ht="43.5" customHeight="1">
      <c r="A112" s="130"/>
      <c r="B112" s="130"/>
      <c r="C112" s="130"/>
      <c r="D112" s="131"/>
      <c r="E112" s="130"/>
      <c r="F112" s="130"/>
      <c r="G112" s="130"/>
      <c r="H112" s="130"/>
      <c r="I112" s="133"/>
      <c r="J112" s="131"/>
      <c r="K112" s="131"/>
    </row>
    <row r="113" ht="43.5" customHeight="1">
      <c r="A113" s="130"/>
      <c r="B113" s="130"/>
      <c r="C113" s="130"/>
      <c r="D113" s="131"/>
      <c r="E113" s="130"/>
      <c r="F113" s="130"/>
      <c r="G113" s="130"/>
      <c r="H113" s="130"/>
      <c r="I113" s="133"/>
      <c r="J113" s="131"/>
      <c r="K113" s="131"/>
    </row>
    <row r="114" ht="43.5" customHeight="1">
      <c r="A114" s="130"/>
      <c r="B114" s="130"/>
      <c r="C114" s="130"/>
      <c r="D114" s="131"/>
      <c r="E114" s="130"/>
      <c r="F114" s="130"/>
      <c r="G114" s="130"/>
      <c r="H114" s="130"/>
      <c r="I114" s="133"/>
      <c r="J114" s="131"/>
      <c r="K114" s="131"/>
    </row>
    <row r="115" ht="43.5" customHeight="1">
      <c r="A115" s="130"/>
      <c r="B115" s="130"/>
      <c r="C115" s="130"/>
      <c r="D115" s="131"/>
      <c r="E115" s="130"/>
      <c r="F115" s="130"/>
      <c r="G115" s="130"/>
      <c r="H115" s="130"/>
      <c r="I115" s="133"/>
      <c r="J115" s="131"/>
      <c r="K115" s="131"/>
    </row>
    <row r="116" ht="43.5" customHeight="1">
      <c r="A116" s="130"/>
      <c r="B116" s="130"/>
      <c r="C116" s="130"/>
      <c r="D116" s="131"/>
      <c r="E116" s="130"/>
      <c r="F116" s="130"/>
      <c r="G116" s="130"/>
      <c r="H116" s="130"/>
      <c r="I116" s="133"/>
      <c r="J116" s="131"/>
      <c r="K116" s="131"/>
    </row>
    <row r="117" ht="43.5" customHeight="1">
      <c r="A117" s="130"/>
      <c r="B117" s="130"/>
      <c r="C117" s="130"/>
      <c r="D117" s="131"/>
      <c r="E117" s="130"/>
      <c r="F117" s="130"/>
      <c r="G117" s="130"/>
      <c r="H117" s="130"/>
      <c r="I117" s="133"/>
      <c r="J117" s="131"/>
      <c r="K117" s="131"/>
    </row>
    <row r="118" ht="43.5" customHeight="1">
      <c r="A118" s="130"/>
      <c r="B118" s="130"/>
      <c r="C118" s="130"/>
      <c r="D118" s="131"/>
      <c r="E118" s="130"/>
      <c r="F118" s="130"/>
      <c r="G118" s="130"/>
      <c r="H118" s="130"/>
      <c r="I118" s="133"/>
      <c r="J118" s="131"/>
      <c r="K118" s="131"/>
    </row>
    <row r="119" ht="43.5" customHeight="1">
      <c r="A119" s="130"/>
      <c r="B119" s="130"/>
      <c r="C119" s="130"/>
      <c r="D119" s="131"/>
      <c r="E119" s="130"/>
      <c r="F119" s="130"/>
      <c r="G119" s="130"/>
      <c r="H119" s="130"/>
      <c r="I119" s="133"/>
      <c r="J119" s="131"/>
      <c r="K119" s="131"/>
    </row>
    <row r="120" ht="43.5" customHeight="1">
      <c r="A120" s="130"/>
      <c r="B120" s="130"/>
      <c r="C120" s="130"/>
      <c r="D120" s="131"/>
      <c r="E120" s="130"/>
      <c r="F120" s="130"/>
      <c r="G120" s="130"/>
      <c r="H120" s="130"/>
      <c r="I120" s="133"/>
      <c r="J120" s="131"/>
      <c r="K120" s="131"/>
    </row>
    <row r="121" ht="43.5" customHeight="1">
      <c r="A121" s="130"/>
      <c r="B121" s="130"/>
      <c r="C121" s="130"/>
      <c r="D121" s="131"/>
      <c r="E121" s="130"/>
      <c r="F121" s="130"/>
      <c r="G121" s="130"/>
      <c r="H121" s="130"/>
      <c r="I121" s="133"/>
      <c r="J121" s="131"/>
      <c r="K121" s="131"/>
    </row>
    <row r="122" ht="43.5" customHeight="1">
      <c r="A122" s="130"/>
      <c r="B122" s="130"/>
      <c r="C122" s="130"/>
      <c r="D122" s="131"/>
      <c r="E122" s="130"/>
      <c r="F122" s="130"/>
      <c r="G122" s="130"/>
      <c r="H122" s="130"/>
      <c r="I122" s="133"/>
      <c r="J122" s="131"/>
      <c r="K122" s="131"/>
    </row>
    <row r="123" ht="43.5" customHeight="1">
      <c r="A123" s="130"/>
      <c r="B123" s="130"/>
      <c r="C123" s="130"/>
      <c r="D123" s="131"/>
      <c r="E123" s="130"/>
      <c r="F123" s="130"/>
      <c r="G123" s="130"/>
      <c r="H123" s="130"/>
      <c r="I123" s="133"/>
      <c r="J123" s="131"/>
      <c r="K123" s="131"/>
    </row>
    <row r="124" ht="43.5" customHeight="1">
      <c r="A124" s="130"/>
      <c r="B124" s="130"/>
      <c r="C124" s="130"/>
      <c r="D124" s="131"/>
      <c r="E124" s="130"/>
      <c r="F124" s="130"/>
      <c r="G124" s="130"/>
      <c r="H124" s="130"/>
      <c r="I124" s="133"/>
      <c r="J124" s="131"/>
      <c r="K124" s="131"/>
    </row>
    <row r="125" ht="43.5" customHeight="1">
      <c r="A125" s="130"/>
      <c r="B125" s="130"/>
      <c r="C125" s="130"/>
      <c r="D125" s="131"/>
      <c r="E125" s="130"/>
      <c r="F125" s="130"/>
      <c r="G125" s="130"/>
      <c r="H125" s="130"/>
      <c r="I125" s="133"/>
      <c r="J125" s="131"/>
      <c r="K125" s="131"/>
    </row>
    <row r="126" ht="43.5" customHeight="1">
      <c r="A126" s="130"/>
      <c r="B126" s="130"/>
      <c r="C126" s="130"/>
      <c r="D126" s="131"/>
      <c r="E126" s="130"/>
      <c r="F126" s="130"/>
      <c r="G126" s="130"/>
      <c r="H126" s="130"/>
      <c r="I126" s="133"/>
      <c r="J126" s="131"/>
      <c r="K126" s="131"/>
    </row>
    <row r="127" ht="43.5" customHeight="1">
      <c r="A127" s="130"/>
      <c r="B127" s="130"/>
      <c r="C127" s="130"/>
      <c r="D127" s="131"/>
      <c r="E127" s="130"/>
      <c r="F127" s="130"/>
      <c r="G127" s="130"/>
      <c r="H127" s="130"/>
      <c r="I127" s="133"/>
      <c r="J127" s="131"/>
      <c r="K127" s="131"/>
    </row>
    <row r="128" ht="43.5" customHeight="1">
      <c r="A128" s="130"/>
      <c r="B128" s="130"/>
      <c r="C128" s="130"/>
      <c r="D128" s="131"/>
      <c r="E128" s="130"/>
      <c r="F128" s="130"/>
      <c r="G128" s="130"/>
      <c r="H128" s="130"/>
      <c r="I128" s="133"/>
      <c r="J128" s="131"/>
      <c r="K128" s="131"/>
    </row>
    <row r="129" ht="43.5" customHeight="1">
      <c r="A129" s="130"/>
      <c r="B129" s="130"/>
      <c r="C129" s="130"/>
      <c r="D129" s="131"/>
      <c r="E129" s="130"/>
      <c r="F129" s="130"/>
      <c r="G129" s="130"/>
      <c r="H129" s="130"/>
      <c r="I129" s="133"/>
      <c r="J129" s="131"/>
      <c r="K129" s="131"/>
    </row>
    <row r="130" ht="43.5" customHeight="1">
      <c r="A130" s="130"/>
      <c r="B130" s="130"/>
      <c r="C130" s="130"/>
      <c r="D130" s="131"/>
      <c r="E130" s="130"/>
      <c r="F130" s="130"/>
      <c r="G130" s="130"/>
      <c r="H130" s="130"/>
      <c r="I130" s="133"/>
      <c r="J130" s="131"/>
      <c r="K130" s="131"/>
    </row>
    <row r="131" ht="43.5" customHeight="1">
      <c r="A131" s="130"/>
      <c r="B131" s="130"/>
      <c r="C131" s="130"/>
      <c r="D131" s="131"/>
      <c r="E131" s="130"/>
      <c r="F131" s="130"/>
      <c r="G131" s="130"/>
      <c r="H131" s="130"/>
      <c r="I131" s="133"/>
      <c r="J131" s="131"/>
      <c r="K131" s="131"/>
    </row>
    <row r="132" ht="43.5" customHeight="1">
      <c r="A132" s="130"/>
      <c r="B132" s="130"/>
      <c r="C132" s="130"/>
      <c r="D132" s="131"/>
      <c r="E132" s="130"/>
      <c r="F132" s="130"/>
      <c r="G132" s="130"/>
      <c r="H132" s="130"/>
      <c r="I132" s="133"/>
      <c r="J132" s="131"/>
      <c r="K132" s="131"/>
    </row>
    <row r="133" ht="43.5" customHeight="1">
      <c r="A133" s="130"/>
      <c r="B133" s="130"/>
      <c r="C133" s="130"/>
      <c r="D133" s="131"/>
      <c r="E133" s="130"/>
      <c r="F133" s="130"/>
      <c r="G133" s="130"/>
      <c r="H133" s="130"/>
      <c r="I133" s="133"/>
      <c r="J133" s="131"/>
      <c r="K133" s="131"/>
    </row>
    <row r="134" ht="43.5" customHeight="1">
      <c r="A134" s="130"/>
      <c r="B134" s="130"/>
      <c r="C134" s="130"/>
      <c r="D134" s="131"/>
      <c r="E134" s="130"/>
      <c r="F134" s="130"/>
      <c r="G134" s="130"/>
      <c r="H134" s="130"/>
      <c r="I134" s="133"/>
      <c r="J134" s="131"/>
      <c r="K134" s="131"/>
    </row>
    <row r="135" ht="43.5" customHeight="1">
      <c r="A135" s="130"/>
      <c r="B135" s="130"/>
      <c r="C135" s="130"/>
      <c r="D135" s="131"/>
      <c r="E135" s="130"/>
      <c r="F135" s="130"/>
      <c r="G135" s="130"/>
      <c r="H135" s="130"/>
      <c r="I135" s="133"/>
      <c r="J135" s="131"/>
      <c r="K135" s="131"/>
    </row>
    <row r="136" ht="43.5" customHeight="1">
      <c r="A136" s="130"/>
      <c r="B136" s="130"/>
      <c r="C136" s="130"/>
      <c r="D136" s="131"/>
      <c r="E136" s="130"/>
      <c r="F136" s="130"/>
      <c r="G136" s="130"/>
      <c r="H136" s="130"/>
      <c r="I136" s="133"/>
      <c r="J136" s="131"/>
      <c r="K136" s="131"/>
    </row>
    <row r="137" ht="43.5" customHeight="1">
      <c r="A137" s="130"/>
      <c r="B137" s="130"/>
      <c r="C137" s="130"/>
      <c r="D137" s="131"/>
      <c r="E137" s="130"/>
      <c r="F137" s="130"/>
      <c r="G137" s="130"/>
      <c r="H137" s="130"/>
      <c r="I137" s="133"/>
      <c r="J137" s="131"/>
      <c r="K137" s="131"/>
    </row>
    <row r="138" ht="43.5" customHeight="1">
      <c r="A138" s="130"/>
      <c r="B138" s="130"/>
      <c r="C138" s="130"/>
      <c r="D138" s="131"/>
      <c r="E138" s="130"/>
      <c r="F138" s="130"/>
      <c r="G138" s="130"/>
      <c r="H138" s="130"/>
      <c r="I138" s="133"/>
      <c r="J138" s="131"/>
      <c r="K138" s="131"/>
    </row>
    <row r="139" ht="43.5" customHeight="1">
      <c r="A139" s="130"/>
      <c r="B139" s="130"/>
      <c r="C139" s="130"/>
      <c r="D139" s="131"/>
      <c r="E139" s="130"/>
      <c r="F139" s="130"/>
      <c r="G139" s="130"/>
      <c r="H139" s="130"/>
      <c r="I139" s="133"/>
      <c r="J139" s="131"/>
      <c r="K139" s="131"/>
    </row>
    <row r="140" ht="43.5" customHeight="1">
      <c r="A140" s="130"/>
      <c r="B140" s="130"/>
      <c r="C140" s="130"/>
      <c r="D140" s="131"/>
      <c r="E140" s="130"/>
      <c r="F140" s="130"/>
      <c r="G140" s="130"/>
      <c r="H140" s="130"/>
      <c r="I140" s="133"/>
      <c r="J140" s="131"/>
      <c r="K140" s="131"/>
    </row>
    <row r="141" ht="43.5" customHeight="1">
      <c r="A141" s="130"/>
      <c r="B141" s="130"/>
      <c r="C141" s="130"/>
      <c r="D141" s="131"/>
      <c r="E141" s="130"/>
      <c r="F141" s="130"/>
      <c r="G141" s="130"/>
      <c r="H141" s="130"/>
      <c r="I141" s="133"/>
      <c r="J141" s="131"/>
      <c r="K141" s="131"/>
    </row>
    <row r="142" ht="43.5" customHeight="1">
      <c r="A142" s="130"/>
      <c r="B142" s="130"/>
      <c r="C142" s="130"/>
      <c r="D142" s="131"/>
      <c r="E142" s="130"/>
      <c r="F142" s="130"/>
      <c r="G142" s="130"/>
      <c r="H142" s="130"/>
      <c r="I142" s="133"/>
      <c r="J142" s="131"/>
      <c r="K142" s="131"/>
    </row>
    <row r="143" ht="43.5" customHeight="1">
      <c r="A143" s="130"/>
      <c r="B143" s="130"/>
      <c r="C143" s="130"/>
      <c r="D143" s="131"/>
      <c r="E143" s="130"/>
      <c r="F143" s="130"/>
      <c r="G143" s="130"/>
      <c r="H143" s="130"/>
      <c r="I143" s="133"/>
      <c r="J143" s="131"/>
      <c r="K143" s="131"/>
    </row>
    <row r="144" ht="43.5" customHeight="1">
      <c r="A144" s="130"/>
      <c r="B144" s="130"/>
      <c r="C144" s="130"/>
      <c r="D144" s="131"/>
      <c r="E144" s="130"/>
      <c r="F144" s="130"/>
      <c r="G144" s="130"/>
      <c r="H144" s="130"/>
      <c r="I144" s="133"/>
      <c r="J144" s="131"/>
      <c r="K144" s="131"/>
    </row>
    <row r="145" ht="43.5" customHeight="1">
      <c r="A145" s="130"/>
      <c r="B145" s="130"/>
      <c r="C145" s="130"/>
      <c r="D145" s="131"/>
      <c r="E145" s="130"/>
      <c r="F145" s="130"/>
      <c r="G145" s="130"/>
      <c r="H145" s="130"/>
      <c r="I145" s="133"/>
      <c r="J145" s="131"/>
      <c r="K145" s="131"/>
    </row>
    <row r="146" ht="43.5" customHeight="1">
      <c r="A146" s="130"/>
      <c r="B146" s="130"/>
      <c r="C146" s="130"/>
      <c r="D146" s="131"/>
      <c r="E146" s="130"/>
      <c r="F146" s="130"/>
      <c r="G146" s="130"/>
      <c r="H146" s="130"/>
      <c r="I146" s="133"/>
      <c r="J146" s="131"/>
      <c r="K146" s="131"/>
    </row>
    <row r="147" ht="43.5" customHeight="1">
      <c r="A147" s="130"/>
      <c r="B147" s="130"/>
      <c r="C147" s="130"/>
      <c r="D147" s="131"/>
      <c r="E147" s="130"/>
      <c r="F147" s="130"/>
      <c r="G147" s="130"/>
      <c r="H147" s="130"/>
      <c r="I147" s="133"/>
      <c r="J147" s="131"/>
      <c r="K147" s="131"/>
    </row>
    <row r="148" ht="43.5" customHeight="1">
      <c r="A148" s="130"/>
      <c r="B148" s="130"/>
      <c r="C148" s="130"/>
      <c r="D148" s="131"/>
      <c r="E148" s="130"/>
      <c r="F148" s="130"/>
      <c r="G148" s="130"/>
      <c r="H148" s="130"/>
      <c r="I148" s="133"/>
      <c r="J148" s="131"/>
      <c r="K148" s="131"/>
    </row>
    <row r="149" ht="43.5" customHeight="1">
      <c r="A149" s="130"/>
      <c r="B149" s="130"/>
      <c r="C149" s="130"/>
      <c r="D149" s="131"/>
      <c r="E149" s="130"/>
      <c r="F149" s="130"/>
      <c r="G149" s="130"/>
      <c r="H149" s="130"/>
      <c r="I149" s="133"/>
      <c r="J149" s="131"/>
      <c r="K149" s="131"/>
    </row>
    <row r="150" ht="43.5" customHeight="1">
      <c r="A150" s="130"/>
      <c r="B150" s="130"/>
      <c r="C150" s="130"/>
      <c r="D150" s="131"/>
      <c r="E150" s="130"/>
      <c r="F150" s="130"/>
      <c r="G150" s="130"/>
      <c r="H150" s="130"/>
      <c r="I150" s="133"/>
      <c r="J150" s="131"/>
      <c r="K150" s="131"/>
    </row>
    <row r="151" ht="43.5" customHeight="1">
      <c r="A151" s="130"/>
      <c r="B151" s="130"/>
      <c r="C151" s="130"/>
      <c r="D151" s="131"/>
      <c r="E151" s="130"/>
      <c r="F151" s="130"/>
      <c r="G151" s="130"/>
      <c r="H151" s="130"/>
      <c r="I151" s="133"/>
      <c r="J151" s="131"/>
      <c r="K151" s="131"/>
    </row>
    <row r="152" ht="43.5" customHeight="1">
      <c r="A152" s="130"/>
      <c r="B152" s="130"/>
      <c r="C152" s="130"/>
      <c r="D152" s="131"/>
      <c r="E152" s="130"/>
      <c r="F152" s="130"/>
      <c r="G152" s="130"/>
      <c r="H152" s="130"/>
      <c r="I152" s="133"/>
      <c r="J152" s="131"/>
      <c r="K152" s="131"/>
    </row>
    <row r="153" ht="43.5" customHeight="1">
      <c r="A153" s="130"/>
      <c r="B153" s="130"/>
      <c r="C153" s="130"/>
      <c r="D153" s="131"/>
      <c r="E153" s="130"/>
      <c r="F153" s="130"/>
      <c r="G153" s="130"/>
      <c r="H153" s="130"/>
      <c r="I153" s="133"/>
      <c r="J153" s="131"/>
      <c r="K153" s="131"/>
    </row>
    <row r="154" ht="43.5" customHeight="1">
      <c r="A154" s="130"/>
      <c r="B154" s="130"/>
      <c r="C154" s="130"/>
      <c r="D154" s="131"/>
      <c r="E154" s="130"/>
      <c r="F154" s="130"/>
      <c r="G154" s="130"/>
      <c r="H154" s="130"/>
      <c r="I154" s="133"/>
      <c r="J154" s="131"/>
      <c r="K154" s="131"/>
    </row>
    <row r="155" ht="43.5" customHeight="1">
      <c r="A155" s="130"/>
      <c r="B155" s="130"/>
      <c r="C155" s="130"/>
      <c r="D155" s="131"/>
      <c r="E155" s="130"/>
      <c r="F155" s="130"/>
      <c r="G155" s="130"/>
      <c r="H155" s="130"/>
      <c r="I155" s="133"/>
      <c r="J155" s="131"/>
      <c r="K155" s="131"/>
    </row>
    <row r="156" ht="43.5" customHeight="1">
      <c r="A156" s="130"/>
      <c r="B156" s="130"/>
      <c r="C156" s="130"/>
      <c r="D156" s="131"/>
      <c r="E156" s="130"/>
      <c r="F156" s="130"/>
      <c r="G156" s="130"/>
      <c r="H156" s="130"/>
      <c r="I156" s="133"/>
      <c r="J156" s="131"/>
      <c r="K156" s="131"/>
    </row>
    <row r="157" ht="43.5" customHeight="1">
      <c r="A157" s="130"/>
      <c r="B157" s="130"/>
      <c r="C157" s="130"/>
      <c r="D157" s="131"/>
      <c r="E157" s="130"/>
      <c r="F157" s="130"/>
      <c r="G157" s="130"/>
      <c r="H157" s="130"/>
      <c r="I157" s="133"/>
      <c r="J157" s="131"/>
      <c r="K157" s="131"/>
    </row>
    <row r="158" ht="43.5" customHeight="1">
      <c r="A158" s="130"/>
      <c r="B158" s="130"/>
      <c r="C158" s="130"/>
      <c r="D158" s="131"/>
      <c r="E158" s="130"/>
      <c r="F158" s="130"/>
      <c r="G158" s="130"/>
      <c r="H158" s="130"/>
      <c r="I158" s="133"/>
      <c r="J158" s="131"/>
      <c r="K158" s="131"/>
    </row>
    <row r="159" ht="43.5" customHeight="1">
      <c r="A159" s="130"/>
      <c r="B159" s="130"/>
      <c r="C159" s="130"/>
      <c r="D159" s="131"/>
      <c r="E159" s="130"/>
      <c r="F159" s="130"/>
      <c r="G159" s="130"/>
      <c r="H159" s="130"/>
      <c r="I159" s="133"/>
      <c r="J159" s="131"/>
      <c r="K159" s="131"/>
    </row>
    <row r="160" ht="43.5" customHeight="1">
      <c r="A160" s="130"/>
      <c r="B160" s="130"/>
      <c r="C160" s="130"/>
      <c r="D160" s="131"/>
      <c r="E160" s="130"/>
      <c r="F160" s="130"/>
      <c r="G160" s="130"/>
      <c r="H160" s="130"/>
      <c r="I160" s="133"/>
      <c r="J160" s="131"/>
      <c r="K160" s="131"/>
    </row>
    <row r="161" ht="43.5" customHeight="1">
      <c r="A161" s="130"/>
      <c r="B161" s="130"/>
      <c r="C161" s="130"/>
      <c r="D161" s="131"/>
      <c r="E161" s="130"/>
      <c r="F161" s="130"/>
      <c r="G161" s="130"/>
      <c r="H161" s="130"/>
      <c r="I161" s="133"/>
      <c r="J161" s="131"/>
      <c r="K161" s="131"/>
    </row>
    <row r="162" ht="43.5" customHeight="1">
      <c r="A162" s="130"/>
      <c r="B162" s="130"/>
      <c r="C162" s="130"/>
      <c r="D162" s="131"/>
      <c r="E162" s="130"/>
      <c r="F162" s="130"/>
      <c r="G162" s="130"/>
      <c r="H162" s="130"/>
      <c r="I162" s="133"/>
      <c r="J162" s="131"/>
      <c r="K162" s="131"/>
    </row>
    <row r="163" ht="43.5" customHeight="1">
      <c r="A163" s="130"/>
      <c r="B163" s="130"/>
      <c r="C163" s="130"/>
      <c r="D163" s="131"/>
      <c r="E163" s="130"/>
      <c r="F163" s="130"/>
      <c r="G163" s="130"/>
      <c r="H163" s="130"/>
      <c r="I163" s="133"/>
      <c r="J163" s="131"/>
      <c r="K163" s="131"/>
    </row>
    <row r="164" ht="43.5" customHeight="1">
      <c r="A164" s="130"/>
      <c r="B164" s="130"/>
      <c r="C164" s="130"/>
      <c r="D164" s="131"/>
      <c r="E164" s="130"/>
      <c r="F164" s="130"/>
      <c r="G164" s="130"/>
      <c r="H164" s="130"/>
      <c r="I164" s="133"/>
      <c r="J164" s="131"/>
      <c r="K164" s="131"/>
    </row>
    <row r="165" ht="43.5" customHeight="1">
      <c r="A165" s="130"/>
      <c r="B165" s="130"/>
      <c r="C165" s="130"/>
      <c r="D165" s="131"/>
      <c r="E165" s="130"/>
      <c r="F165" s="130"/>
      <c r="G165" s="130"/>
      <c r="H165" s="130"/>
      <c r="I165" s="133"/>
      <c r="J165" s="131"/>
      <c r="K165" s="131"/>
    </row>
    <row r="166" ht="43.5" customHeight="1">
      <c r="A166" s="130"/>
      <c r="B166" s="130"/>
      <c r="C166" s="130"/>
      <c r="D166" s="131"/>
      <c r="E166" s="130"/>
      <c r="F166" s="130"/>
      <c r="G166" s="130"/>
      <c r="H166" s="130"/>
      <c r="I166" s="133"/>
      <c r="J166" s="131"/>
      <c r="K166" s="131"/>
    </row>
    <row r="167" ht="43.5" customHeight="1">
      <c r="A167" s="130"/>
      <c r="B167" s="130"/>
      <c r="C167" s="130"/>
      <c r="D167" s="131"/>
      <c r="E167" s="130"/>
      <c r="F167" s="130"/>
      <c r="G167" s="130"/>
      <c r="H167" s="130"/>
      <c r="I167" s="133"/>
      <c r="J167" s="131"/>
      <c r="K167" s="131"/>
    </row>
    <row r="168" ht="43.5" customHeight="1">
      <c r="A168" s="130"/>
      <c r="B168" s="130"/>
      <c r="C168" s="130"/>
      <c r="D168" s="131"/>
      <c r="E168" s="130"/>
      <c r="F168" s="130"/>
      <c r="G168" s="130"/>
      <c r="H168" s="130"/>
      <c r="I168" s="133"/>
      <c r="J168" s="131"/>
      <c r="K168" s="131"/>
    </row>
    <row r="169" ht="43.5" customHeight="1">
      <c r="A169" s="130"/>
      <c r="B169" s="130"/>
      <c r="C169" s="130"/>
      <c r="D169" s="131"/>
      <c r="E169" s="130"/>
      <c r="F169" s="130"/>
      <c r="G169" s="130"/>
      <c r="H169" s="130"/>
      <c r="I169" s="133"/>
      <c r="J169" s="131"/>
      <c r="K169" s="131"/>
    </row>
    <row r="170" ht="43.5" customHeight="1">
      <c r="A170" s="130"/>
      <c r="B170" s="130"/>
      <c r="C170" s="130"/>
      <c r="D170" s="131"/>
      <c r="E170" s="130"/>
      <c r="F170" s="130"/>
      <c r="G170" s="130"/>
      <c r="H170" s="130"/>
      <c r="I170" s="133"/>
      <c r="J170" s="131"/>
      <c r="K170" s="131"/>
    </row>
    <row r="171" ht="43.5" customHeight="1">
      <c r="A171" s="130"/>
      <c r="B171" s="130"/>
      <c r="C171" s="130"/>
      <c r="D171" s="131"/>
      <c r="E171" s="130"/>
      <c r="F171" s="130"/>
      <c r="G171" s="130"/>
      <c r="H171" s="130"/>
      <c r="I171" s="133"/>
      <c r="J171" s="131"/>
      <c r="K171" s="131"/>
    </row>
    <row r="172" ht="43.5" customHeight="1">
      <c r="A172" s="130"/>
      <c r="B172" s="130"/>
      <c r="C172" s="130"/>
      <c r="D172" s="131"/>
      <c r="E172" s="130"/>
      <c r="F172" s="130"/>
      <c r="G172" s="130"/>
      <c r="H172" s="130"/>
      <c r="I172" s="133"/>
      <c r="J172" s="131"/>
      <c r="K172" s="131"/>
    </row>
    <row r="173" ht="43.5" customHeight="1">
      <c r="A173" s="130"/>
      <c r="B173" s="130"/>
      <c r="C173" s="130"/>
      <c r="D173" s="131"/>
      <c r="E173" s="130"/>
      <c r="F173" s="130"/>
      <c r="G173" s="130"/>
      <c r="H173" s="130"/>
      <c r="I173" s="133"/>
      <c r="J173" s="131"/>
      <c r="K173" s="131"/>
    </row>
    <row r="174" ht="43.5" customHeight="1">
      <c r="A174" s="130"/>
      <c r="B174" s="130"/>
      <c r="C174" s="130"/>
      <c r="D174" s="131"/>
      <c r="E174" s="130"/>
      <c r="F174" s="130"/>
      <c r="G174" s="130"/>
      <c r="H174" s="130"/>
      <c r="I174" s="133"/>
      <c r="J174" s="131"/>
      <c r="K174" s="131"/>
    </row>
    <row r="175" ht="43.5" customHeight="1">
      <c r="A175" s="130"/>
      <c r="B175" s="130"/>
      <c r="C175" s="130"/>
      <c r="D175" s="131"/>
      <c r="E175" s="130"/>
      <c r="F175" s="130"/>
      <c r="G175" s="130"/>
      <c r="H175" s="130"/>
      <c r="I175" s="133"/>
      <c r="J175" s="131"/>
      <c r="K175" s="131"/>
    </row>
    <row r="176" ht="43.5" customHeight="1">
      <c r="A176" s="130"/>
      <c r="B176" s="130"/>
      <c r="C176" s="130"/>
      <c r="D176" s="131"/>
      <c r="E176" s="130"/>
      <c r="F176" s="130"/>
      <c r="G176" s="130"/>
      <c r="H176" s="130"/>
      <c r="I176" s="133"/>
      <c r="J176" s="131"/>
      <c r="K176" s="131"/>
    </row>
    <row r="177" ht="43.5" customHeight="1">
      <c r="A177" s="130"/>
      <c r="B177" s="130"/>
      <c r="C177" s="130"/>
      <c r="D177" s="131"/>
      <c r="E177" s="130"/>
      <c r="F177" s="130"/>
      <c r="G177" s="130"/>
      <c r="H177" s="130"/>
      <c r="I177" s="133"/>
      <c r="J177" s="131"/>
      <c r="K177" s="131"/>
    </row>
    <row r="178" ht="43.5" customHeight="1">
      <c r="A178" s="130"/>
      <c r="B178" s="130"/>
      <c r="C178" s="130"/>
      <c r="D178" s="131"/>
      <c r="E178" s="130"/>
      <c r="F178" s="130"/>
      <c r="G178" s="130"/>
      <c r="H178" s="130"/>
      <c r="I178" s="133"/>
      <c r="J178" s="131"/>
      <c r="K178" s="131"/>
    </row>
    <row r="179" ht="43.5" customHeight="1">
      <c r="A179" s="130"/>
      <c r="B179" s="130"/>
      <c r="C179" s="130"/>
      <c r="D179" s="131"/>
      <c r="E179" s="130"/>
      <c r="F179" s="130"/>
      <c r="G179" s="130"/>
      <c r="H179" s="130"/>
      <c r="I179" s="133"/>
      <c r="J179" s="131"/>
      <c r="K179" s="131"/>
    </row>
    <row r="180" ht="43.5" customHeight="1">
      <c r="A180" s="130"/>
      <c r="B180" s="130"/>
      <c r="C180" s="130"/>
      <c r="D180" s="131"/>
      <c r="E180" s="130"/>
      <c r="F180" s="130"/>
      <c r="G180" s="130"/>
      <c r="H180" s="130"/>
      <c r="I180" s="133"/>
      <c r="J180" s="131"/>
      <c r="K180" s="131"/>
    </row>
    <row r="181" ht="43.5" customHeight="1">
      <c r="A181" s="130"/>
      <c r="B181" s="130"/>
      <c r="C181" s="130"/>
      <c r="D181" s="131"/>
      <c r="E181" s="130"/>
      <c r="F181" s="130"/>
      <c r="G181" s="130"/>
      <c r="H181" s="130"/>
      <c r="I181" s="133"/>
      <c r="J181" s="131"/>
      <c r="K181" s="131"/>
    </row>
    <row r="182" ht="43.5" customHeight="1">
      <c r="A182" s="130"/>
      <c r="B182" s="130"/>
      <c r="C182" s="130"/>
      <c r="D182" s="131"/>
      <c r="E182" s="130"/>
      <c r="F182" s="130"/>
      <c r="G182" s="130"/>
      <c r="H182" s="130"/>
      <c r="I182" s="133"/>
      <c r="J182" s="131"/>
      <c r="K182" s="131"/>
    </row>
    <row r="183" ht="43.5" customHeight="1">
      <c r="A183" s="130"/>
      <c r="B183" s="130"/>
      <c r="C183" s="130"/>
      <c r="D183" s="131"/>
      <c r="E183" s="130"/>
      <c r="F183" s="130"/>
      <c r="G183" s="130"/>
      <c r="H183" s="130"/>
      <c r="I183" s="133"/>
      <c r="J183" s="131"/>
      <c r="K183" s="131"/>
    </row>
    <row r="184" ht="43.5" customHeight="1">
      <c r="A184" s="130"/>
      <c r="B184" s="130"/>
      <c r="C184" s="130"/>
      <c r="D184" s="131"/>
      <c r="E184" s="130"/>
      <c r="F184" s="130"/>
      <c r="G184" s="130"/>
      <c r="H184" s="130"/>
      <c r="I184" s="133"/>
      <c r="J184" s="131"/>
      <c r="K184" s="131"/>
    </row>
    <row r="185" ht="43.5" customHeight="1">
      <c r="A185" s="130"/>
      <c r="B185" s="130"/>
      <c r="C185" s="130"/>
      <c r="D185" s="131"/>
      <c r="E185" s="130"/>
      <c r="F185" s="130"/>
      <c r="G185" s="130"/>
      <c r="H185" s="130"/>
      <c r="I185" s="133"/>
      <c r="J185" s="131"/>
      <c r="K185" s="131"/>
    </row>
    <row r="186" ht="43.5" customHeight="1">
      <c r="A186" s="130"/>
      <c r="B186" s="130"/>
      <c r="C186" s="130"/>
      <c r="D186" s="131"/>
      <c r="E186" s="130"/>
      <c r="F186" s="130"/>
      <c r="G186" s="130"/>
      <c r="H186" s="130"/>
      <c r="I186" s="133"/>
      <c r="J186" s="131"/>
      <c r="K186" s="131"/>
    </row>
    <row r="187" ht="43.5" customHeight="1">
      <c r="A187" s="130"/>
      <c r="B187" s="130"/>
      <c r="C187" s="130"/>
      <c r="D187" s="131"/>
      <c r="E187" s="130"/>
      <c r="F187" s="130"/>
      <c r="G187" s="130"/>
      <c r="H187" s="130"/>
      <c r="I187" s="133"/>
      <c r="J187" s="131"/>
      <c r="K187" s="131"/>
    </row>
    <row r="188" ht="43.5" customHeight="1">
      <c r="A188" s="130"/>
      <c r="B188" s="130"/>
      <c r="C188" s="130"/>
      <c r="D188" s="131"/>
      <c r="E188" s="130"/>
      <c r="F188" s="130"/>
      <c r="G188" s="130"/>
      <c r="H188" s="130"/>
      <c r="I188" s="133"/>
      <c r="J188" s="131"/>
      <c r="K188" s="131"/>
    </row>
    <row r="189" ht="43.5" customHeight="1">
      <c r="A189" s="130"/>
      <c r="B189" s="130"/>
      <c r="C189" s="130"/>
      <c r="D189" s="131"/>
      <c r="E189" s="130"/>
      <c r="F189" s="130"/>
      <c r="G189" s="130"/>
      <c r="H189" s="130"/>
      <c r="I189" s="133"/>
      <c r="J189" s="131"/>
      <c r="K189" s="131"/>
    </row>
    <row r="190" ht="43.5" customHeight="1">
      <c r="A190" s="130"/>
      <c r="B190" s="130"/>
      <c r="C190" s="130"/>
      <c r="D190" s="131"/>
      <c r="E190" s="130"/>
      <c r="F190" s="130"/>
      <c r="G190" s="130"/>
      <c r="H190" s="130"/>
      <c r="I190" s="133"/>
      <c r="J190" s="131"/>
      <c r="K190" s="131"/>
    </row>
    <row r="191" ht="43.5" customHeight="1">
      <c r="A191" s="130"/>
      <c r="B191" s="130"/>
      <c r="C191" s="130"/>
      <c r="D191" s="131"/>
      <c r="E191" s="130"/>
      <c r="F191" s="130"/>
      <c r="G191" s="130"/>
      <c r="H191" s="130"/>
      <c r="I191" s="133"/>
      <c r="J191" s="131"/>
      <c r="K191" s="131"/>
    </row>
    <row r="192" ht="43.5" customHeight="1">
      <c r="A192" s="130"/>
      <c r="B192" s="130"/>
      <c r="C192" s="130"/>
      <c r="D192" s="131"/>
      <c r="E192" s="130"/>
      <c r="F192" s="130"/>
      <c r="G192" s="130"/>
      <c r="H192" s="130"/>
      <c r="I192" s="133"/>
      <c r="J192" s="131"/>
      <c r="K192" s="131"/>
    </row>
    <row r="193" ht="43.5" customHeight="1">
      <c r="A193" s="130"/>
      <c r="B193" s="130"/>
      <c r="C193" s="130"/>
      <c r="D193" s="131"/>
      <c r="E193" s="130"/>
      <c r="F193" s="130"/>
      <c r="G193" s="130"/>
      <c r="H193" s="130"/>
      <c r="I193" s="133"/>
      <c r="J193" s="131"/>
      <c r="K193" s="131"/>
    </row>
    <row r="194" ht="43.5" customHeight="1">
      <c r="A194" s="130"/>
      <c r="B194" s="130"/>
      <c r="C194" s="130"/>
      <c r="D194" s="131"/>
      <c r="E194" s="130"/>
      <c r="F194" s="130"/>
      <c r="G194" s="130"/>
      <c r="H194" s="130"/>
      <c r="I194" s="133"/>
      <c r="J194" s="131"/>
      <c r="K194" s="131"/>
    </row>
    <row r="195" ht="43.5" customHeight="1">
      <c r="A195" s="130"/>
      <c r="B195" s="130"/>
      <c r="C195" s="130"/>
      <c r="D195" s="131"/>
      <c r="E195" s="130"/>
      <c r="F195" s="130"/>
      <c r="G195" s="130"/>
      <c r="H195" s="130"/>
      <c r="I195" s="133"/>
      <c r="J195" s="131"/>
      <c r="K195" s="131"/>
    </row>
    <row r="196" ht="43.5" customHeight="1">
      <c r="A196" s="130"/>
      <c r="B196" s="130"/>
      <c r="C196" s="130"/>
      <c r="D196" s="131"/>
      <c r="E196" s="130"/>
      <c r="F196" s="130"/>
      <c r="G196" s="130"/>
      <c r="H196" s="130"/>
      <c r="I196" s="133"/>
      <c r="J196" s="131"/>
      <c r="K196" s="131"/>
    </row>
    <row r="197" ht="43.5" customHeight="1">
      <c r="A197" s="130"/>
      <c r="B197" s="130"/>
      <c r="C197" s="130"/>
      <c r="D197" s="131"/>
      <c r="E197" s="130"/>
      <c r="F197" s="130"/>
      <c r="G197" s="130"/>
      <c r="H197" s="130"/>
      <c r="I197" s="133"/>
      <c r="J197" s="131"/>
      <c r="K197" s="131"/>
    </row>
    <row r="198" ht="43.5" customHeight="1">
      <c r="A198" s="130"/>
      <c r="B198" s="130"/>
      <c r="C198" s="130"/>
      <c r="D198" s="131"/>
      <c r="E198" s="130"/>
      <c r="F198" s="130"/>
      <c r="G198" s="130"/>
      <c r="H198" s="130"/>
      <c r="I198" s="133"/>
      <c r="J198" s="131"/>
      <c r="K198" s="131"/>
    </row>
    <row r="199" ht="43.5" customHeight="1">
      <c r="A199" s="130"/>
      <c r="B199" s="130"/>
      <c r="C199" s="130"/>
      <c r="D199" s="131"/>
      <c r="E199" s="130"/>
      <c r="F199" s="130"/>
      <c r="G199" s="130"/>
      <c r="H199" s="130"/>
      <c r="I199" s="133"/>
      <c r="J199" s="131"/>
      <c r="K199" s="131"/>
    </row>
    <row r="200" ht="43.5" customHeight="1">
      <c r="A200" s="130"/>
      <c r="B200" s="130"/>
      <c r="C200" s="130"/>
      <c r="D200" s="131"/>
      <c r="E200" s="130"/>
      <c r="F200" s="130"/>
      <c r="G200" s="130"/>
      <c r="H200" s="130"/>
      <c r="I200" s="133"/>
      <c r="J200" s="131"/>
      <c r="K200" s="131"/>
    </row>
    <row r="201" ht="43.5" customHeight="1">
      <c r="A201" s="130"/>
      <c r="B201" s="130"/>
      <c r="C201" s="130"/>
      <c r="D201" s="131"/>
      <c r="E201" s="130"/>
      <c r="F201" s="130"/>
      <c r="G201" s="130"/>
      <c r="H201" s="130"/>
      <c r="I201" s="133"/>
      <c r="J201" s="131"/>
      <c r="K201" s="131"/>
    </row>
    <row r="202" ht="43.5" customHeight="1">
      <c r="A202" s="130"/>
      <c r="B202" s="130"/>
      <c r="C202" s="130"/>
      <c r="D202" s="131"/>
      <c r="E202" s="130"/>
      <c r="F202" s="130"/>
      <c r="G202" s="130"/>
      <c r="H202" s="130"/>
      <c r="I202" s="133"/>
      <c r="J202" s="131"/>
      <c r="K202" s="131"/>
    </row>
    <row r="203" ht="43.5" customHeight="1">
      <c r="A203" s="130"/>
      <c r="B203" s="130"/>
      <c r="C203" s="130"/>
      <c r="D203" s="131"/>
      <c r="E203" s="130"/>
      <c r="F203" s="130"/>
      <c r="G203" s="130"/>
      <c r="H203" s="130"/>
      <c r="I203" s="133"/>
      <c r="J203" s="131"/>
      <c r="K203" s="131"/>
    </row>
    <row r="204" ht="43.5" customHeight="1">
      <c r="A204" s="130"/>
      <c r="B204" s="130"/>
      <c r="C204" s="130"/>
      <c r="D204" s="131"/>
      <c r="E204" s="130"/>
      <c r="F204" s="130"/>
      <c r="G204" s="130"/>
      <c r="H204" s="130"/>
      <c r="I204" s="133"/>
      <c r="J204" s="131"/>
      <c r="K204" s="131"/>
    </row>
    <row r="205" ht="43.5" customHeight="1">
      <c r="A205" s="130"/>
      <c r="B205" s="130"/>
      <c r="C205" s="130"/>
      <c r="D205" s="131"/>
      <c r="E205" s="130"/>
      <c r="F205" s="130"/>
      <c r="G205" s="130"/>
      <c r="H205" s="130"/>
      <c r="I205" s="133"/>
      <c r="J205" s="131"/>
      <c r="K205" s="131"/>
    </row>
    <row r="206" ht="43.5" customHeight="1">
      <c r="A206" s="130"/>
      <c r="B206" s="130"/>
      <c r="C206" s="130"/>
      <c r="D206" s="131"/>
      <c r="E206" s="130"/>
      <c r="F206" s="130"/>
      <c r="G206" s="130"/>
      <c r="H206" s="130"/>
      <c r="I206" s="133"/>
      <c r="J206" s="131"/>
      <c r="K206" s="131"/>
    </row>
    <row r="207" ht="43.5" customHeight="1">
      <c r="A207" s="130"/>
      <c r="B207" s="130"/>
      <c r="C207" s="130"/>
      <c r="D207" s="131"/>
      <c r="E207" s="130"/>
      <c r="F207" s="130"/>
      <c r="G207" s="130"/>
      <c r="H207" s="130"/>
      <c r="I207" s="133"/>
      <c r="J207" s="131"/>
      <c r="K207" s="131"/>
    </row>
    <row r="208" ht="43.5" customHeight="1">
      <c r="A208" s="130"/>
      <c r="B208" s="130"/>
      <c r="C208" s="130"/>
      <c r="D208" s="131"/>
      <c r="E208" s="130"/>
      <c r="F208" s="130"/>
      <c r="G208" s="130"/>
      <c r="H208" s="130"/>
      <c r="I208" s="133"/>
      <c r="J208" s="131"/>
      <c r="K208" s="131"/>
    </row>
    <row r="209" ht="43.5" customHeight="1">
      <c r="A209" s="130"/>
      <c r="B209" s="130"/>
      <c r="C209" s="130"/>
      <c r="D209" s="131"/>
      <c r="E209" s="130"/>
      <c r="F209" s="130"/>
      <c r="G209" s="130"/>
      <c r="H209" s="130"/>
      <c r="I209" s="133"/>
      <c r="J209" s="131"/>
      <c r="K209" s="131"/>
    </row>
    <row r="210" ht="43.5" customHeight="1">
      <c r="A210" s="130"/>
      <c r="B210" s="130"/>
      <c r="C210" s="130"/>
      <c r="D210" s="131"/>
      <c r="E210" s="130"/>
      <c r="F210" s="130"/>
      <c r="G210" s="130"/>
      <c r="H210" s="130"/>
      <c r="I210" s="133"/>
      <c r="J210" s="131"/>
      <c r="K210" s="131"/>
    </row>
    <row r="211" ht="43.5" customHeight="1">
      <c r="A211" s="130"/>
      <c r="B211" s="130"/>
      <c r="C211" s="130"/>
      <c r="D211" s="131"/>
      <c r="E211" s="130"/>
      <c r="F211" s="130"/>
      <c r="G211" s="130"/>
      <c r="H211" s="130"/>
      <c r="I211" s="133"/>
      <c r="J211" s="131"/>
      <c r="K211" s="131"/>
    </row>
    <row r="212" ht="43.5" customHeight="1">
      <c r="A212" s="130"/>
      <c r="B212" s="130"/>
      <c r="C212" s="130"/>
      <c r="D212" s="131"/>
      <c r="E212" s="130"/>
      <c r="F212" s="130"/>
      <c r="G212" s="130"/>
      <c r="H212" s="130"/>
      <c r="I212" s="133"/>
      <c r="J212" s="131"/>
      <c r="K212" s="131"/>
    </row>
    <row r="213" ht="43.5" customHeight="1">
      <c r="A213" s="130"/>
      <c r="B213" s="130"/>
      <c r="C213" s="130"/>
      <c r="D213" s="131"/>
      <c r="E213" s="130"/>
      <c r="F213" s="130"/>
      <c r="G213" s="130"/>
      <c r="H213" s="130"/>
      <c r="I213" s="133"/>
      <c r="J213" s="131"/>
      <c r="K213" s="131"/>
    </row>
    <row r="214" ht="43.5" customHeight="1">
      <c r="A214" s="130"/>
      <c r="B214" s="130"/>
      <c r="C214" s="130"/>
      <c r="D214" s="131"/>
      <c r="E214" s="130"/>
      <c r="F214" s="130"/>
      <c r="G214" s="130"/>
      <c r="H214" s="130"/>
      <c r="I214" s="133"/>
      <c r="J214" s="131"/>
      <c r="K214" s="131"/>
    </row>
    <row r="215" ht="43.5" customHeight="1">
      <c r="A215" s="130"/>
      <c r="B215" s="130"/>
      <c r="C215" s="130"/>
      <c r="D215" s="131"/>
      <c r="E215" s="130"/>
      <c r="F215" s="130"/>
      <c r="G215" s="130"/>
      <c r="H215" s="130"/>
      <c r="I215" s="133"/>
      <c r="J215" s="131"/>
      <c r="K215" s="131"/>
    </row>
    <row r="216" ht="43.5" customHeight="1">
      <c r="A216" s="130"/>
      <c r="B216" s="130"/>
      <c r="C216" s="130"/>
      <c r="D216" s="131"/>
      <c r="E216" s="130"/>
      <c r="F216" s="130"/>
      <c r="G216" s="130"/>
      <c r="H216" s="130"/>
      <c r="I216" s="133"/>
      <c r="J216" s="131"/>
      <c r="K216" s="131"/>
    </row>
    <row r="217" ht="43.5" customHeight="1">
      <c r="A217" s="130"/>
      <c r="B217" s="130"/>
      <c r="C217" s="130"/>
      <c r="D217" s="131"/>
      <c r="E217" s="130"/>
      <c r="F217" s="130"/>
      <c r="G217" s="130"/>
      <c r="H217" s="130"/>
      <c r="I217" s="133"/>
      <c r="J217" s="131"/>
      <c r="K217" s="131"/>
    </row>
    <row r="218" ht="43.5" customHeight="1">
      <c r="A218" s="130"/>
      <c r="B218" s="130"/>
      <c r="C218" s="130"/>
      <c r="D218" s="131"/>
      <c r="E218" s="130"/>
      <c r="F218" s="130"/>
      <c r="G218" s="130"/>
      <c r="H218" s="130"/>
      <c r="I218" s="133"/>
      <c r="J218" s="131"/>
      <c r="K218" s="131"/>
    </row>
    <row r="219" ht="43.5" customHeight="1">
      <c r="A219" s="130"/>
      <c r="B219" s="130"/>
      <c r="C219" s="130"/>
      <c r="D219" s="131"/>
      <c r="E219" s="130"/>
      <c r="F219" s="130"/>
      <c r="G219" s="130"/>
      <c r="H219" s="130"/>
      <c r="I219" s="133"/>
      <c r="J219" s="131"/>
      <c r="K219" s="131"/>
    </row>
    <row r="220" ht="43.5" customHeight="1">
      <c r="A220" s="130"/>
      <c r="B220" s="130"/>
      <c r="C220" s="130"/>
      <c r="D220" s="131"/>
      <c r="E220" s="130"/>
      <c r="F220" s="130"/>
      <c r="G220" s="130"/>
      <c r="H220" s="130"/>
      <c r="I220" s="133"/>
      <c r="J220" s="131"/>
      <c r="K220" s="131"/>
    </row>
    <row r="221" ht="43.5" customHeight="1">
      <c r="A221" s="130"/>
      <c r="B221" s="130"/>
      <c r="C221" s="130"/>
      <c r="D221" s="131"/>
      <c r="E221" s="130"/>
      <c r="F221" s="130"/>
      <c r="G221" s="130"/>
      <c r="H221" s="130"/>
      <c r="I221" s="133"/>
      <c r="J221" s="131"/>
      <c r="K221" s="131"/>
    </row>
    <row r="222" ht="43.5" customHeight="1">
      <c r="A222" s="130"/>
      <c r="B222" s="130"/>
      <c r="C222" s="130"/>
      <c r="D222" s="131"/>
      <c r="E222" s="130"/>
      <c r="F222" s="130"/>
      <c r="G222" s="130"/>
      <c r="H222" s="130"/>
      <c r="I222" s="133"/>
      <c r="J222" s="131"/>
      <c r="K222" s="131"/>
    </row>
    <row r="223" ht="43.5" customHeight="1">
      <c r="A223" s="130"/>
      <c r="B223" s="130"/>
      <c r="C223" s="130"/>
      <c r="D223" s="131"/>
      <c r="E223" s="130"/>
      <c r="F223" s="130"/>
      <c r="G223" s="130"/>
      <c r="H223" s="130"/>
      <c r="I223" s="133"/>
      <c r="J223" s="131"/>
      <c r="K223" s="131"/>
    </row>
    <row r="224" ht="43.5" customHeight="1">
      <c r="A224" s="130"/>
      <c r="B224" s="130"/>
      <c r="C224" s="130"/>
      <c r="D224" s="131"/>
      <c r="E224" s="130"/>
      <c r="F224" s="130"/>
      <c r="G224" s="130"/>
      <c r="H224" s="130"/>
      <c r="I224" s="133"/>
      <c r="J224" s="131"/>
      <c r="K224" s="131"/>
    </row>
    <row r="225" ht="43.5" customHeight="1">
      <c r="A225" s="130"/>
      <c r="B225" s="130"/>
      <c r="C225" s="130"/>
      <c r="D225" s="131"/>
      <c r="E225" s="130"/>
      <c r="F225" s="130"/>
      <c r="G225" s="130"/>
      <c r="H225" s="130"/>
      <c r="I225" s="133"/>
      <c r="J225" s="131"/>
      <c r="K225" s="131"/>
    </row>
    <row r="226" ht="43.5" customHeight="1">
      <c r="A226" s="130"/>
      <c r="B226" s="130"/>
      <c r="C226" s="130"/>
      <c r="D226" s="131"/>
      <c r="E226" s="130"/>
      <c r="F226" s="130"/>
      <c r="G226" s="130"/>
      <c r="H226" s="130"/>
      <c r="I226" s="133"/>
      <c r="J226" s="131"/>
      <c r="K226" s="131"/>
    </row>
    <row r="227" ht="43.5" customHeight="1">
      <c r="A227" s="130"/>
      <c r="B227" s="130"/>
      <c r="C227" s="130"/>
      <c r="D227" s="131"/>
      <c r="E227" s="130"/>
      <c r="F227" s="130"/>
      <c r="G227" s="130"/>
      <c r="H227" s="130"/>
      <c r="I227" s="133"/>
      <c r="J227" s="131"/>
      <c r="K227" s="131"/>
    </row>
    <row r="228" ht="43.5" customHeight="1">
      <c r="A228" s="130"/>
      <c r="B228" s="130"/>
      <c r="C228" s="130"/>
      <c r="D228" s="131"/>
      <c r="E228" s="130"/>
      <c r="F228" s="130"/>
      <c r="G228" s="130"/>
      <c r="H228" s="130"/>
      <c r="I228" s="133"/>
      <c r="J228" s="131"/>
      <c r="K228" s="131"/>
    </row>
    <row r="229" ht="43.5" customHeight="1">
      <c r="A229" s="130"/>
      <c r="B229" s="130"/>
      <c r="C229" s="130"/>
      <c r="D229" s="131"/>
      <c r="E229" s="130"/>
      <c r="F229" s="130"/>
      <c r="G229" s="130"/>
      <c r="H229" s="130"/>
      <c r="I229" s="133"/>
      <c r="J229" s="131"/>
      <c r="K229" s="131"/>
    </row>
    <row r="230" ht="43.5" customHeight="1">
      <c r="A230" s="130"/>
      <c r="B230" s="130"/>
      <c r="C230" s="130"/>
      <c r="D230" s="131"/>
      <c r="E230" s="130"/>
      <c r="F230" s="130"/>
      <c r="G230" s="130"/>
      <c r="H230" s="130"/>
      <c r="I230" s="133"/>
      <c r="J230" s="131"/>
      <c r="K230" s="131"/>
    </row>
    <row r="231" ht="43.5" customHeight="1">
      <c r="A231" s="130"/>
      <c r="B231" s="130"/>
      <c r="C231" s="130"/>
      <c r="D231" s="131"/>
      <c r="E231" s="130"/>
      <c r="F231" s="130"/>
      <c r="G231" s="130"/>
      <c r="H231" s="130"/>
      <c r="I231" s="133"/>
      <c r="J231" s="131"/>
      <c r="K231" s="131"/>
    </row>
    <row r="232" ht="43.5" customHeight="1">
      <c r="A232" s="130"/>
      <c r="B232" s="130"/>
      <c r="C232" s="130"/>
      <c r="D232" s="131"/>
      <c r="E232" s="130"/>
      <c r="F232" s="130"/>
      <c r="G232" s="130"/>
      <c r="H232" s="130"/>
      <c r="I232" s="133"/>
      <c r="J232" s="131"/>
      <c r="K232" s="131"/>
    </row>
    <row r="233" ht="43.5" customHeight="1">
      <c r="A233" s="130"/>
      <c r="B233" s="130"/>
      <c r="C233" s="130"/>
      <c r="D233" s="131"/>
      <c r="E233" s="130"/>
      <c r="F233" s="130"/>
      <c r="G233" s="130"/>
      <c r="H233" s="130"/>
      <c r="I233" s="133"/>
      <c r="J233" s="131"/>
      <c r="K233" s="131"/>
    </row>
    <row r="234" ht="43.5" customHeight="1">
      <c r="A234" s="130"/>
      <c r="B234" s="130"/>
      <c r="C234" s="130"/>
      <c r="D234" s="131"/>
      <c r="E234" s="130"/>
      <c r="F234" s="130"/>
      <c r="G234" s="130"/>
      <c r="H234" s="130"/>
      <c r="I234" s="133"/>
      <c r="J234" s="131"/>
      <c r="K234" s="131"/>
    </row>
    <row r="235" ht="43.5" customHeight="1">
      <c r="A235" s="130"/>
      <c r="B235" s="130"/>
      <c r="C235" s="130"/>
      <c r="D235" s="131"/>
      <c r="E235" s="130"/>
      <c r="F235" s="130"/>
      <c r="G235" s="130"/>
      <c r="H235" s="130"/>
      <c r="I235" s="133"/>
      <c r="J235" s="131"/>
      <c r="K235" s="131"/>
    </row>
    <row r="236" ht="43.5" customHeight="1">
      <c r="A236" s="130"/>
      <c r="B236" s="130"/>
      <c r="C236" s="130"/>
      <c r="D236" s="131"/>
      <c r="E236" s="130"/>
      <c r="F236" s="130"/>
      <c r="G236" s="130"/>
      <c r="H236" s="130"/>
      <c r="I236" s="133"/>
      <c r="J236" s="131"/>
      <c r="K236" s="131"/>
    </row>
    <row r="237" ht="43.5" customHeight="1">
      <c r="A237" s="130"/>
      <c r="B237" s="130"/>
      <c r="C237" s="130"/>
      <c r="D237" s="131"/>
      <c r="E237" s="130"/>
      <c r="F237" s="130"/>
      <c r="G237" s="130"/>
      <c r="H237" s="130"/>
      <c r="I237" s="133"/>
      <c r="J237" s="131"/>
      <c r="K237" s="131"/>
    </row>
    <row r="238" ht="43.5" customHeight="1">
      <c r="A238" s="130"/>
      <c r="B238" s="130"/>
      <c r="C238" s="130"/>
      <c r="D238" s="131"/>
      <c r="E238" s="130"/>
      <c r="F238" s="130"/>
      <c r="G238" s="130"/>
      <c r="H238" s="130"/>
      <c r="I238" s="133"/>
      <c r="J238" s="131"/>
      <c r="K238" s="131"/>
    </row>
    <row r="239" ht="43.5" customHeight="1">
      <c r="A239" s="130"/>
      <c r="B239" s="130"/>
      <c r="C239" s="130"/>
      <c r="D239" s="131"/>
      <c r="E239" s="130"/>
      <c r="F239" s="130"/>
      <c r="G239" s="130"/>
      <c r="H239" s="130"/>
      <c r="I239" s="133"/>
      <c r="J239" s="131"/>
      <c r="K239" s="131"/>
    </row>
    <row r="240" ht="43.5" customHeight="1">
      <c r="A240" s="130"/>
      <c r="B240" s="130"/>
      <c r="C240" s="130"/>
      <c r="D240" s="131"/>
      <c r="E240" s="130"/>
      <c r="F240" s="130"/>
      <c r="G240" s="130"/>
      <c r="H240" s="130"/>
      <c r="I240" s="133"/>
      <c r="J240" s="131"/>
      <c r="K240" s="131"/>
    </row>
    <row r="241" ht="43.5" customHeight="1">
      <c r="A241" s="130"/>
      <c r="B241" s="130"/>
      <c r="C241" s="130"/>
      <c r="D241" s="131"/>
      <c r="E241" s="130"/>
      <c r="F241" s="130"/>
      <c r="G241" s="130"/>
      <c r="H241" s="130"/>
      <c r="I241" s="133"/>
      <c r="J241" s="131"/>
      <c r="K241" s="131"/>
    </row>
    <row r="242" ht="43.5" customHeight="1">
      <c r="A242" s="130"/>
      <c r="B242" s="130"/>
      <c r="C242" s="130"/>
      <c r="D242" s="131"/>
      <c r="E242" s="130"/>
      <c r="F242" s="130"/>
      <c r="G242" s="130"/>
      <c r="H242" s="130"/>
      <c r="I242" s="133"/>
      <c r="J242" s="131"/>
      <c r="K242" s="131"/>
    </row>
    <row r="243" ht="43.5" customHeight="1">
      <c r="A243" s="130"/>
      <c r="B243" s="130"/>
      <c r="C243" s="130"/>
      <c r="D243" s="131"/>
      <c r="E243" s="130"/>
      <c r="F243" s="130"/>
      <c r="G243" s="130"/>
      <c r="H243" s="130"/>
      <c r="I243" s="133"/>
      <c r="J243" s="131"/>
      <c r="K243" s="131"/>
    </row>
    <row r="244" ht="43.5" customHeight="1">
      <c r="A244" s="130"/>
      <c r="B244" s="130"/>
      <c r="C244" s="130"/>
      <c r="D244" s="131"/>
      <c r="E244" s="130"/>
      <c r="F244" s="130"/>
      <c r="G244" s="130"/>
      <c r="H244" s="130"/>
      <c r="I244" s="133"/>
      <c r="J244" s="131"/>
      <c r="K244" s="131"/>
    </row>
    <row r="245" ht="43.5" customHeight="1">
      <c r="A245" s="130"/>
      <c r="B245" s="130"/>
      <c r="C245" s="130"/>
      <c r="D245" s="131"/>
      <c r="E245" s="130"/>
      <c r="F245" s="130"/>
      <c r="G245" s="130"/>
      <c r="H245" s="130"/>
      <c r="I245" s="133"/>
      <c r="J245" s="131"/>
      <c r="K245" s="131"/>
    </row>
    <row r="246" ht="43.5" customHeight="1">
      <c r="A246" s="130"/>
      <c r="B246" s="130"/>
      <c r="C246" s="130"/>
      <c r="D246" s="131"/>
      <c r="E246" s="130"/>
      <c r="F246" s="130"/>
      <c r="G246" s="130"/>
      <c r="H246" s="130"/>
      <c r="I246" s="133"/>
      <c r="J246" s="131"/>
      <c r="K246" s="131"/>
    </row>
    <row r="247" ht="43.5" customHeight="1">
      <c r="A247" s="130"/>
      <c r="B247" s="130"/>
      <c r="C247" s="130"/>
      <c r="D247" s="131"/>
      <c r="E247" s="130"/>
      <c r="F247" s="130"/>
      <c r="G247" s="130"/>
      <c r="H247" s="130"/>
      <c r="I247" s="133"/>
      <c r="J247" s="131"/>
      <c r="K247" s="131"/>
    </row>
    <row r="248" ht="43.5" customHeight="1">
      <c r="A248" s="130"/>
      <c r="B248" s="130"/>
      <c r="C248" s="130"/>
      <c r="D248" s="131"/>
      <c r="E248" s="130"/>
      <c r="F248" s="130"/>
      <c r="G248" s="130"/>
      <c r="H248" s="130"/>
      <c r="I248" s="133"/>
      <c r="J248" s="131"/>
      <c r="K248" s="131"/>
    </row>
    <row r="249" ht="15.75" customHeight="1">
      <c r="A249" s="136"/>
      <c r="B249" s="136"/>
      <c r="C249" s="136"/>
      <c r="D249" s="136"/>
      <c r="E249" s="136"/>
      <c r="F249" s="136"/>
      <c r="G249" s="136"/>
      <c r="H249" s="136"/>
      <c r="I249" s="136"/>
      <c r="J249" s="136"/>
      <c r="K249" s="136"/>
    </row>
    <row r="250" ht="15.75" customHeight="1">
      <c r="A250" s="136"/>
      <c r="B250" s="136"/>
      <c r="C250" s="136"/>
      <c r="D250" s="136"/>
      <c r="E250" s="136"/>
      <c r="F250" s="136"/>
      <c r="G250" s="136"/>
      <c r="H250" s="136"/>
      <c r="I250" s="136"/>
      <c r="J250" s="136"/>
      <c r="K250" s="136"/>
    </row>
    <row r="251" ht="15.75" customHeight="1">
      <c r="A251" s="136"/>
      <c r="B251" s="136"/>
      <c r="C251" s="136"/>
      <c r="D251" s="136"/>
      <c r="E251" s="136"/>
      <c r="F251" s="136"/>
      <c r="G251" s="136"/>
      <c r="H251" s="136"/>
      <c r="I251" s="136"/>
      <c r="J251" s="136"/>
      <c r="K251" s="136"/>
    </row>
    <row r="252" ht="15.75" customHeight="1">
      <c r="A252" s="136"/>
      <c r="B252" s="136"/>
      <c r="C252" s="136"/>
      <c r="D252" s="136"/>
      <c r="E252" s="136"/>
      <c r="F252" s="136"/>
      <c r="G252" s="136"/>
      <c r="H252" s="136"/>
      <c r="I252" s="136"/>
      <c r="J252" s="136"/>
      <c r="K252" s="136"/>
    </row>
    <row r="253" ht="15.75" customHeight="1">
      <c r="A253" s="136"/>
      <c r="B253" s="136"/>
      <c r="C253" s="136"/>
      <c r="D253" s="136"/>
      <c r="E253" s="136"/>
      <c r="F253" s="136"/>
      <c r="G253" s="136"/>
      <c r="H253" s="136"/>
      <c r="I253" s="136"/>
      <c r="J253" s="136"/>
      <c r="K253" s="136"/>
    </row>
    <row r="254" ht="15.75" customHeight="1">
      <c r="A254" s="136"/>
      <c r="B254" s="136"/>
      <c r="C254" s="136"/>
      <c r="D254" s="136"/>
      <c r="E254" s="136"/>
      <c r="F254" s="136"/>
      <c r="G254" s="136"/>
      <c r="H254" s="136"/>
      <c r="I254" s="136"/>
      <c r="J254" s="136"/>
      <c r="K254" s="136"/>
    </row>
    <row r="255" ht="15.75" customHeight="1">
      <c r="A255" s="136"/>
      <c r="B255" s="136"/>
      <c r="C255" s="136"/>
      <c r="D255" s="136"/>
      <c r="E255" s="136"/>
      <c r="F255" s="136"/>
      <c r="G255" s="136"/>
      <c r="H255" s="136"/>
      <c r="I255" s="136"/>
      <c r="J255" s="136"/>
      <c r="K255" s="136"/>
    </row>
    <row r="256" ht="15.75" customHeight="1">
      <c r="A256" s="136"/>
      <c r="B256" s="136"/>
      <c r="C256" s="136"/>
      <c r="D256" s="136"/>
      <c r="E256" s="136"/>
      <c r="F256" s="136"/>
      <c r="G256" s="136"/>
      <c r="H256" s="136"/>
      <c r="I256" s="136"/>
      <c r="J256" s="136"/>
      <c r="K256" s="136"/>
    </row>
    <row r="257" ht="15.75" customHeight="1">
      <c r="A257" s="136"/>
      <c r="B257" s="136"/>
      <c r="C257" s="136"/>
      <c r="D257" s="136"/>
      <c r="E257" s="136"/>
      <c r="F257" s="136"/>
      <c r="G257" s="136"/>
      <c r="H257" s="136"/>
      <c r="I257" s="136"/>
      <c r="J257" s="136"/>
      <c r="K257" s="136"/>
    </row>
    <row r="258" ht="15.75" customHeight="1">
      <c r="A258" s="136"/>
      <c r="B258" s="136"/>
      <c r="C258" s="136"/>
      <c r="D258" s="136"/>
      <c r="E258" s="136"/>
      <c r="F258" s="136"/>
      <c r="G258" s="136"/>
      <c r="H258" s="136"/>
      <c r="I258" s="136"/>
      <c r="J258" s="136"/>
      <c r="K258" s="136"/>
    </row>
    <row r="259" ht="15.75" customHeight="1">
      <c r="A259" s="136"/>
      <c r="B259" s="136"/>
      <c r="C259" s="136"/>
      <c r="D259" s="136"/>
      <c r="E259" s="136"/>
      <c r="F259" s="136"/>
      <c r="G259" s="136"/>
      <c r="H259" s="136"/>
      <c r="I259" s="136"/>
      <c r="J259" s="136"/>
      <c r="K259" s="136"/>
    </row>
    <row r="260" ht="15.75" customHeight="1">
      <c r="A260" s="136"/>
      <c r="B260" s="136"/>
      <c r="C260" s="136"/>
      <c r="D260" s="136"/>
      <c r="E260" s="136"/>
      <c r="F260" s="136"/>
      <c r="G260" s="136"/>
      <c r="H260" s="136"/>
      <c r="I260" s="136"/>
      <c r="J260" s="136"/>
      <c r="K260" s="136"/>
    </row>
    <row r="261" ht="15.75" customHeight="1">
      <c r="A261" s="136"/>
      <c r="B261" s="136"/>
      <c r="C261" s="136"/>
      <c r="D261" s="136"/>
      <c r="E261" s="136"/>
      <c r="F261" s="136"/>
      <c r="G261" s="136"/>
      <c r="H261" s="136"/>
      <c r="I261" s="136"/>
      <c r="J261" s="136"/>
      <c r="K261" s="136"/>
    </row>
    <row r="262" ht="15.75" customHeight="1">
      <c r="A262" s="136"/>
      <c r="B262" s="136"/>
      <c r="C262" s="136"/>
      <c r="D262" s="136"/>
      <c r="E262" s="136"/>
      <c r="F262" s="136"/>
      <c r="G262" s="136"/>
      <c r="H262" s="136"/>
      <c r="I262" s="136"/>
      <c r="J262" s="136"/>
      <c r="K262" s="136"/>
    </row>
    <row r="263" ht="15.75" customHeight="1">
      <c r="A263" s="136"/>
      <c r="B263" s="136"/>
      <c r="C263" s="136"/>
      <c r="D263" s="136"/>
      <c r="E263" s="136"/>
      <c r="F263" s="136"/>
      <c r="G263" s="136"/>
      <c r="H263" s="136"/>
      <c r="I263" s="136"/>
      <c r="J263" s="136"/>
      <c r="K263" s="136"/>
    </row>
    <row r="264" ht="15.75" customHeight="1">
      <c r="A264" s="136"/>
      <c r="B264" s="136"/>
      <c r="C264" s="136"/>
      <c r="D264" s="136"/>
      <c r="E264" s="136"/>
      <c r="F264" s="136"/>
      <c r="G264" s="136"/>
      <c r="H264" s="136"/>
      <c r="I264" s="136"/>
      <c r="J264" s="136"/>
      <c r="K264" s="136"/>
    </row>
    <row r="265" ht="15.75" customHeight="1">
      <c r="A265" s="136"/>
      <c r="B265" s="136"/>
      <c r="C265" s="136"/>
      <c r="D265" s="136"/>
      <c r="E265" s="136"/>
      <c r="F265" s="136"/>
      <c r="G265" s="136"/>
      <c r="H265" s="136"/>
      <c r="I265" s="136"/>
      <c r="J265" s="136"/>
      <c r="K265" s="136"/>
    </row>
    <row r="266" ht="15.75" customHeight="1">
      <c r="A266" s="136"/>
      <c r="B266" s="136"/>
      <c r="C266" s="136"/>
      <c r="D266" s="136"/>
      <c r="E266" s="136"/>
      <c r="F266" s="136"/>
      <c r="G266" s="136"/>
      <c r="H266" s="136"/>
      <c r="I266" s="136"/>
      <c r="J266" s="136"/>
      <c r="K266" s="136"/>
    </row>
    <row r="267" ht="15.75" customHeight="1">
      <c r="A267" s="136"/>
      <c r="B267" s="136"/>
      <c r="C267" s="136"/>
      <c r="D267" s="136"/>
      <c r="E267" s="136"/>
      <c r="F267" s="136"/>
      <c r="G267" s="136"/>
      <c r="H267" s="136"/>
      <c r="I267" s="136"/>
      <c r="J267" s="136"/>
      <c r="K267" s="136"/>
    </row>
    <row r="268" ht="15.75" customHeight="1">
      <c r="A268" s="136"/>
      <c r="B268" s="136"/>
      <c r="C268" s="136"/>
      <c r="D268" s="136"/>
      <c r="E268" s="136"/>
      <c r="F268" s="136"/>
      <c r="G268" s="136"/>
      <c r="H268" s="136"/>
      <c r="I268" s="136"/>
      <c r="J268" s="136"/>
      <c r="K268" s="136"/>
    </row>
    <row r="269" ht="15.75" customHeight="1">
      <c r="A269" s="136"/>
      <c r="B269" s="136"/>
      <c r="C269" s="136"/>
      <c r="D269" s="136"/>
      <c r="E269" s="136"/>
      <c r="F269" s="136"/>
      <c r="G269" s="136"/>
      <c r="H269" s="136"/>
      <c r="I269" s="136"/>
      <c r="J269" s="136"/>
      <c r="K269" s="136"/>
    </row>
    <row r="270" ht="15.75" customHeight="1">
      <c r="A270" s="136"/>
      <c r="B270" s="136"/>
      <c r="C270" s="136"/>
      <c r="D270" s="136"/>
      <c r="E270" s="136"/>
      <c r="F270" s="136"/>
      <c r="G270" s="136"/>
      <c r="H270" s="136"/>
      <c r="I270" s="136"/>
      <c r="J270" s="136"/>
      <c r="K270" s="136"/>
    </row>
    <row r="271" ht="15.75" customHeight="1">
      <c r="A271" s="136"/>
      <c r="B271" s="136"/>
      <c r="C271" s="136"/>
      <c r="D271" s="136"/>
      <c r="E271" s="136"/>
      <c r="F271" s="136"/>
      <c r="G271" s="136"/>
      <c r="H271" s="136"/>
      <c r="I271" s="136"/>
      <c r="J271" s="136"/>
      <c r="K271" s="136"/>
    </row>
    <row r="272" ht="15.75" customHeight="1">
      <c r="A272" s="136"/>
      <c r="B272" s="136"/>
      <c r="C272" s="136"/>
      <c r="D272" s="136"/>
      <c r="E272" s="136"/>
      <c r="F272" s="136"/>
      <c r="G272" s="136"/>
      <c r="H272" s="136"/>
      <c r="I272" s="136"/>
      <c r="J272" s="136"/>
      <c r="K272" s="136"/>
    </row>
    <row r="273" ht="15.75" customHeight="1">
      <c r="A273" s="136"/>
      <c r="B273" s="136"/>
      <c r="C273" s="136"/>
      <c r="D273" s="136"/>
      <c r="E273" s="136"/>
      <c r="F273" s="136"/>
      <c r="G273" s="136"/>
      <c r="H273" s="136"/>
      <c r="I273" s="136"/>
      <c r="J273" s="136"/>
      <c r="K273" s="136"/>
    </row>
    <row r="274" ht="15.75" customHeight="1">
      <c r="A274" s="136"/>
      <c r="B274" s="136"/>
      <c r="C274" s="136"/>
      <c r="D274" s="136"/>
      <c r="E274" s="136"/>
      <c r="F274" s="136"/>
      <c r="G274" s="136"/>
      <c r="H274" s="136"/>
      <c r="I274" s="136"/>
      <c r="J274" s="136"/>
      <c r="K274" s="136"/>
    </row>
    <row r="275" ht="15.75" customHeight="1">
      <c r="A275" s="136"/>
      <c r="B275" s="136"/>
      <c r="C275" s="136"/>
      <c r="D275" s="136"/>
      <c r="E275" s="136"/>
      <c r="F275" s="136"/>
      <c r="G275" s="136"/>
      <c r="H275" s="136"/>
      <c r="I275" s="136"/>
      <c r="J275" s="136"/>
      <c r="K275" s="136"/>
    </row>
    <row r="276" ht="15.75" customHeight="1">
      <c r="A276" s="136"/>
      <c r="B276" s="136"/>
      <c r="C276" s="136"/>
      <c r="D276" s="136"/>
      <c r="E276" s="136"/>
      <c r="F276" s="136"/>
      <c r="G276" s="136"/>
      <c r="H276" s="136"/>
      <c r="I276" s="136"/>
      <c r="J276" s="136"/>
      <c r="K276" s="136"/>
    </row>
    <row r="277" ht="15.75" customHeight="1">
      <c r="A277" s="136"/>
      <c r="B277" s="136"/>
      <c r="C277" s="136"/>
      <c r="D277" s="136"/>
      <c r="E277" s="136"/>
      <c r="F277" s="136"/>
      <c r="G277" s="136"/>
      <c r="H277" s="136"/>
      <c r="I277" s="136"/>
      <c r="J277" s="136"/>
      <c r="K277" s="136"/>
    </row>
    <row r="278" ht="15.75" customHeight="1">
      <c r="A278" s="136"/>
      <c r="B278" s="136"/>
      <c r="C278" s="136"/>
      <c r="D278" s="136"/>
      <c r="E278" s="136"/>
      <c r="F278" s="136"/>
      <c r="G278" s="136"/>
      <c r="H278" s="136"/>
      <c r="I278" s="136"/>
      <c r="J278" s="136"/>
      <c r="K278" s="136"/>
    </row>
    <row r="279" ht="15.75" customHeight="1">
      <c r="A279" s="136"/>
      <c r="B279" s="136"/>
      <c r="C279" s="136"/>
      <c r="D279" s="136"/>
      <c r="E279" s="136"/>
      <c r="F279" s="136"/>
      <c r="G279" s="136"/>
      <c r="H279" s="136"/>
      <c r="I279" s="136"/>
      <c r="J279" s="136"/>
      <c r="K279" s="136"/>
    </row>
    <row r="280" ht="15.75" customHeight="1">
      <c r="A280" s="136"/>
      <c r="B280" s="136"/>
      <c r="C280" s="136"/>
      <c r="D280" s="136"/>
      <c r="E280" s="136"/>
      <c r="F280" s="136"/>
      <c r="G280" s="136"/>
      <c r="H280" s="136"/>
      <c r="I280" s="136"/>
      <c r="J280" s="136"/>
      <c r="K280" s="136"/>
    </row>
    <row r="281" ht="15.75" customHeight="1">
      <c r="A281" s="136"/>
      <c r="B281" s="136"/>
      <c r="C281" s="136"/>
      <c r="D281" s="136"/>
      <c r="E281" s="136"/>
      <c r="F281" s="136"/>
      <c r="G281" s="136"/>
      <c r="H281" s="136"/>
      <c r="I281" s="136"/>
      <c r="J281" s="136"/>
      <c r="K281" s="136"/>
    </row>
    <row r="282" ht="15.75" customHeight="1">
      <c r="A282" s="136"/>
      <c r="B282" s="136"/>
      <c r="C282" s="136"/>
      <c r="D282" s="136"/>
      <c r="E282" s="136"/>
      <c r="F282" s="136"/>
      <c r="G282" s="136"/>
      <c r="H282" s="136"/>
      <c r="I282" s="136"/>
      <c r="J282" s="136"/>
      <c r="K282" s="136"/>
    </row>
    <row r="283" ht="15.75" customHeight="1">
      <c r="A283" s="136"/>
      <c r="B283" s="136"/>
      <c r="C283" s="136"/>
      <c r="D283" s="136"/>
      <c r="E283" s="136"/>
      <c r="F283" s="136"/>
      <c r="G283" s="136"/>
      <c r="H283" s="136"/>
      <c r="I283" s="136"/>
      <c r="J283" s="136"/>
      <c r="K283" s="136"/>
    </row>
    <row r="284" ht="15.75" customHeight="1">
      <c r="A284" s="136"/>
      <c r="B284" s="136"/>
      <c r="C284" s="136"/>
      <c r="D284" s="136"/>
      <c r="E284" s="136"/>
      <c r="F284" s="136"/>
      <c r="G284" s="136"/>
      <c r="H284" s="136"/>
      <c r="I284" s="136"/>
      <c r="J284" s="136"/>
      <c r="K284" s="136"/>
    </row>
    <row r="285" ht="15.75" customHeight="1">
      <c r="A285" s="136"/>
      <c r="B285" s="136"/>
      <c r="C285" s="136"/>
      <c r="D285" s="136"/>
      <c r="E285" s="136"/>
      <c r="F285" s="136"/>
      <c r="G285" s="136"/>
      <c r="H285" s="136"/>
      <c r="I285" s="136"/>
      <c r="J285" s="136"/>
      <c r="K285" s="136"/>
    </row>
    <row r="286" ht="15.75" customHeight="1">
      <c r="A286" s="136"/>
      <c r="B286" s="136"/>
      <c r="C286" s="136"/>
      <c r="D286" s="136"/>
      <c r="E286" s="136"/>
      <c r="F286" s="136"/>
      <c r="G286" s="136"/>
      <c r="H286" s="136"/>
      <c r="I286" s="136"/>
      <c r="J286" s="136"/>
      <c r="K286" s="136"/>
    </row>
    <row r="287" ht="15.75" customHeight="1">
      <c r="A287" s="136"/>
      <c r="B287" s="136"/>
      <c r="C287" s="136"/>
      <c r="D287" s="136"/>
      <c r="E287" s="136"/>
      <c r="F287" s="136"/>
      <c r="G287" s="136"/>
      <c r="H287" s="136"/>
      <c r="I287" s="136"/>
      <c r="J287" s="136"/>
      <c r="K287" s="136"/>
    </row>
    <row r="288" ht="15.75" customHeight="1">
      <c r="A288" s="136"/>
      <c r="B288" s="136"/>
      <c r="C288" s="136"/>
      <c r="D288" s="136"/>
      <c r="E288" s="136"/>
      <c r="F288" s="136"/>
      <c r="G288" s="136"/>
      <c r="H288" s="136"/>
      <c r="I288" s="136"/>
      <c r="J288" s="136"/>
      <c r="K288" s="136"/>
    </row>
    <row r="289" ht="15.75" customHeight="1">
      <c r="A289" s="136"/>
      <c r="B289" s="136"/>
      <c r="C289" s="136"/>
      <c r="D289" s="136"/>
      <c r="E289" s="136"/>
      <c r="F289" s="136"/>
      <c r="G289" s="136"/>
      <c r="H289" s="136"/>
      <c r="I289" s="136"/>
      <c r="J289" s="136"/>
      <c r="K289" s="136"/>
    </row>
    <row r="290" ht="15.75" customHeight="1">
      <c r="A290" s="136"/>
      <c r="B290" s="136"/>
      <c r="C290" s="136"/>
      <c r="D290" s="136"/>
      <c r="E290" s="136"/>
      <c r="F290" s="136"/>
      <c r="G290" s="136"/>
      <c r="H290" s="136"/>
      <c r="I290" s="136"/>
      <c r="J290" s="136"/>
      <c r="K290" s="136"/>
    </row>
    <row r="291" ht="15.75" customHeight="1">
      <c r="A291" s="136"/>
      <c r="B291" s="136"/>
      <c r="C291" s="136"/>
      <c r="D291" s="136"/>
      <c r="E291" s="136"/>
      <c r="F291" s="136"/>
      <c r="G291" s="136"/>
      <c r="H291" s="136"/>
      <c r="I291" s="136"/>
      <c r="J291" s="136"/>
      <c r="K291" s="136"/>
    </row>
    <row r="292" ht="15.75" customHeight="1">
      <c r="A292" s="136"/>
      <c r="B292" s="136"/>
      <c r="C292" s="136"/>
      <c r="D292" s="136"/>
      <c r="E292" s="136"/>
      <c r="F292" s="136"/>
      <c r="G292" s="136"/>
      <c r="H292" s="136"/>
      <c r="I292" s="136"/>
      <c r="J292" s="136"/>
      <c r="K292" s="136"/>
    </row>
    <row r="293" ht="15.75" customHeight="1">
      <c r="A293" s="136"/>
      <c r="B293" s="136"/>
      <c r="C293" s="136"/>
      <c r="D293" s="136"/>
      <c r="E293" s="136"/>
      <c r="F293" s="136"/>
      <c r="G293" s="136"/>
      <c r="H293" s="136"/>
      <c r="I293" s="136"/>
      <c r="J293" s="136"/>
      <c r="K293" s="136"/>
    </row>
    <row r="294" ht="15.75" customHeight="1">
      <c r="A294" s="136"/>
      <c r="B294" s="136"/>
      <c r="C294" s="136"/>
      <c r="D294" s="136"/>
      <c r="E294" s="136"/>
      <c r="F294" s="136"/>
      <c r="G294" s="136"/>
      <c r="H294" s="136"/>
      <c r="I294" s="136"/>
      <c r="J294" s="136"/>
      <c r="K294" s="136"/>
    </row>
    <row r="295" ht="15.75" customHeight="1">
      <c r="A295" s="136"/>
      <c r="B295" s="136"/>
      <c r="C295" s="136"/>
      <c r="D295" s="136"/>
      <c r="E295" s="136"/>
      <c r="F295" s="136"/>
      <c r="G295" s="136"/>
      <c r="H295" s="136"/>
      <c r="I295" s="136"/>
      <c r="J295" s="136"/>
      <c r="K295" s="136"/>
    </row>
    <row r="296" ht="15.75" customHeight="1">
      <c r="A296" s="136"/>
      <c r="B296" s="136"/>
      <c r="C296" s="136"/>
      <c r="D296" s="136"/>
      <c r="E296" s="136"/>
      <c r="F296" s="136"/>
      <c r="G296" s="136"/>
      <c r="H296" s="136"/>
      <c r="I296" s="136"/>
      <c r="J296" s="136"/>
      <c r="K296" s="136"/>
    </row>
    <row r="297" ht="15.75" customHeight="1">
      <c r="A297" s="136"/>
      <c r="B297" s="136"/>
      <c r="C297" s="136"/>
      <c r="D297" s="136"/>
      <c r="E297" s="136"/>
      <c r="F297" s="136"/>
      <c r="G297" s="136"/>
      <c r="H297" s="136"/>
      <c r="I297" s="136"/>
      <c r="J297" s="136"/>
      <c r="K297" s="136"/>
    </row>
    <row r="298" ht="15.75" customHeight="1">
      <c r="A298" s="136"/>
      <c r="B298" s="136"/>
      <c r="C298" s="136"/>
      <c r="D298" s="136"/>
      <c r="E298" s="136"/>
      <c r="F298" s="136"/>
      <c r="G298" s="136"/>
      <c r="H298" s="136"/>
      <c r="I298" s="136"/>
      <c r="J298" s="136"/>
      <c r="K298" s="136"/>
    </row>
    <row r="299" ht="15.75" customHeight="1">
      <c r="A299" s="136"/>
      <c r="B299" s="136"/>
      <c r="C299" s="136"/>
      <c r="D299" s="136"/>
      <c r="E299" s="136"/>
      <c r="F299" s="136"/>
      <c r="G299" s="136"/>
      <c r="H299" s="136"/>
      <c r="I299" s="136"/>
      <c r="J299" s="136"/>
      <c r="K299" s="136"/>
    </row>
    <row r="300" ht="15.75" customHeight="1">
      <c r="A300" s="136"/>
      <c r="B300" s="136"/>
      <c r="C300" s="136"/>
      <c r="D300" s="136"/>
      <c r="E300" s="136"/>
      <c r="F300" s="136"/>
      <c r="G300" s="136"/>
      <c r="H300" s="136"/>
      <c r="I300" s="136"/>
      <c r="J300" s="136"/>
      <c r="K300" s="136"/>
    </row>
    <row r="301" ht="15.75" customHeight="1">
      <c r="A301" s="136"/>
      <c r="B301" s="136"/>
      <c r="C301" s="136"/>
      <c r="D301" s="136"/>
      <c r="E301" s="136"/>
      <c r="F301" s="136"/>
      <c r="G301" s="136"/>
      <c r="H301" s="136"/>
      <c r="I301" s="136"/>
      <c r="J301" s="136"/>
      <c r="K301" s="136"/>
    </row>
    <row r="302" ht="15.75" customHeight="1">
      <c r="A302" s="136"/>
      <c r="B302" s="136"/>
      <c r="C302" s="136"/>
      <c r="D302" s="136"/>
      <c r="E302" s="136"/>
      <c r="F302" s="136"/>
      <c r="G302" s="136"/>
      <c r="H302" s="136"/>
      <c r="I302" s="136"/>
      <c r="J302" s="136"/>
      <c r="K302" s="136"/>
    </row>
    <row r="303" ht="15.75" customHeight="1">
      <c r="A303" s="136"/>
      <c r="B303" s="136"/>
      <c r="C303" s="136"/>
      <c r="D303" s="136"/>
      <c r="E303" s="136"/>
      <c r="F303" s="136"/>
      <c r="G303" s="136"/>
      <c r="H303" s="136"/>
      <c r="I303" s="136"/>
      <c r="J303" s="136"/>
      <c r="K303" s="136"/>
    </row>
    <row r="304" ht="15.75" customHeight="1">
      <c r="A304" s="136"/>
      <c r="B304" s="136"/>
      <c r="C304" s="136"/>
      <c r="D304" s="136"/>
      <c r="E304" s="136"/>
      <c r="F304" s="136"/>
      <c r="G304" s="136"/>
      <c r="H304" s="136"/>
      <c r="I304" s="136"/>
      <c r="J304" s="136"/>
      <c r="K304" s="136"/>
    </row>
    <row r="305" ht="15.75" customHeight="1">
      <c r="A305" s="136"/>
      <c r="B305" s="136"/>
      <c r="C305" s="136"/>
      <c r="D305" s="136"/>
      <c r="E305" s="136"/>
      <c r="F305" s="136"/>
      <c r="G305" s="136"/>
      <c r="H305" s="136"/>
      <c r="I305" s="136"/>
      <c r="J305" s="136"/>
      <c r="K305" s="136"/>
    </row>
    <row r="306" ht="15.75" customHeight="1">
      <c r="A306" s="136"/>
      <c r="B306" s="136"/>
      <c r="C306" s="136"/>
      <c r="D306" s="136"/>
      <c r="E306" s="136"/>
      <c r="F306" s="136"/>
      <c r="G306" s="136"/>
      <c r="H306" s="136"/>
      <c r="I306" s="136"/>
      <c r="J306" s="136"/>
      <c r="K306" s="136"/>
    </row>
    <row r="307" ht="15.75" customHeight="1">
      <c r="A307" s="136"/>
      <c r="B307" s="136"/>
      <c r="C307" s="136"/>
      <c r="D307" s="136"/>
      <c r="E307" s="136"/>
      <c r="F307" s="136"/>
      <c r="G307" s="136"/>
      <c r="H307" s="136"/>
      <c r="I307" s="136"/>
      <c r="J307" s="136"/>
      <c r="K307" s="136"/>
    </row>
    <row r="308" ht="15.75" customHeight="1">
      <c r="A308" s="136"/>
      <c r="B308" s="136"/>
      <c r="C308" s="136"/>
      <c r="D308" s="136"/>
      <c r="E308" s="136"/>
      <c r="F308" s="136"/>
      <c r="G308" s="136"/>
      <c r="H308" s="136"/>
      <c r="I308" s="136"/>
      <c r="J308" s="136"/>
      <c r="K308" s="136"/>
    </row>
    <row r="309" ht="15.75" customHeight="1">
      <c r="A309" s="136"/>
      <c r="B309" s="136"/>
      <c r="C309" s="136"/>
      <c r="D309" s="136"/>
      <c r="E309" s="136"/>
      <c r="F309" s="136"/>
      <c r="G309" s="136"/>
      <c r="H309" s="136"/>
      <c r="I309" s="136"/>
      <c r="J309" s="136"/>
      <c r="K309" s="136"/>
    </row>
    <row r="310" ht="15.75" customHeight="1">
      <c r="A310" s="136"/>
      <c r="B310" s="136"/>
      <c r="C310" s="136"/>
      <c r="D310" s="136"/>
      <c r="E310" s="136"/>
      <c r="F310" s="136"/>
      <c r="G310" s="136"/>
      <c r="H310" s="136"/>
      <c r="I310" s="136"/>
      <c r="J310" s="136"/>
      <c r="K310" s="136"/>
    </row>
    <row r="311" ht="15.75" customHeight="1">
      <c r="A311" s="136"/>
      <c r="B311" s="136"/>
      <c r="C311" s="136"/>
      <c r="D311" s="136"/>
      <c r="E311" s="136"/>
      <c r="F311" s="136"/>
      <c r="G311" s="136"/>
      <c r="H311" s="136"/>
      <c r="I311" s="136"/>
      <c r="J311" s="136"/>
      <c r="K311" s="136"/>
    </row>
    <row r="312" ht="15.75" customHeight="1">
      <c r="A312" s="136"/>
      <c r="B312" s="136"/>
      <c r="C312" s="136"/>
      <c r="D312" s="136"/>
      <c r="E312" s="136"/>
      <c r="F312" s="136"/>
      <c r="G312" s="136"/>
      <c r="H312" s="136"/>
      <c r="I312" s="136"/>
      <c r="J312" s="136"/>
      <c r="K312" s="136"/>
    </row>
    <row r="313" ht="15.75" customHeight="1">
      <c r="A313" s="136"/>
      <c r="B313" s="136"/>
      <c r="C313" s="136"/>
      <c r="D313" s="136"/>
      <c r="E313" s="136"/>
      <c r="F313" s="136"/>
      <c r="G313" s="136"/>
      <c r="H313" s="136"/>
      <c r="I313" s="136"/>
      <c r="J313" s="136"/>
      <c r="K313" s="136"/>
    </row>
    <row r="314" ht="15.75" customHeight="1">
      <c r="A314" s="136"/>
      <c r="B314" s="136"/>
      <c r="C314" s="136"/>
      <c r="D314" s="136"/>
      <c r="E314" s="136"/>
      <c r="F314" s="136"/>
      <c r="G314" s="136"/>
      <c r="H314" s="136"/>
      <c r="I314" s="136"/>
      <c r="J314" s="136"/>
      <c r="K314" s="136"/>
    </row>
    <row r="315" ht="15.75" customHeight="1">
      <c r="A315" s="136"/>
      <c r="B315" s="136"/>
      <c r="C315" s="136"/>
      <c r="D315" s="136"/>
      <c r="E315" s="136"/>
      <c r="F315" s="136"/>
      <c r="G315" s="136"/>
      <c r="H315" s="136"/>
      <c r="I315" s="136"/>
      <c r="J315" s="136"/>
      <c r="K315" s="136"/>
    </row>
    <row r="316" ht="15.75" customHeight="1">
      <c r="A316" s="136"/>
      <c r="B316" s="136"/>
      <c r="C316" s="136"/>
      <c r="D316" s="136"/>
      <c r="E316" s="136"/>
      <c r="F316" s="136"/>
      <c r="G316" s="136"/>
      <c r="H316" s="136"/>
      <c r="I316" s="136"/>
      <c r="J316" s="136"/>
      <c r="K316" s="136"/>
    </row>
    <row r="317" ht="15.75" customHeight="1">
      <c r="A317" s="136"/>
      <c r="B317" s="136"/>
      <c r="C317" s="136"/>
      <c r="D317" s="136"/>
      <c r="E317" s="136"/>
      <c r="F317" s="136"/>
      <c r="G317" s="136"/>
      <c r="H317" s="136"/>
      <c r="I317" s="136"/>
      <c r="J317" s="136"/>
      <c r="K317" s="136"/>
    </row>
    <row r="318" ht="15.75" customHeight="1">
      <c r="A318" s="136"/>
      <c r="B318" s="136"/>
      <c r="C318" s="136"/>
      <c r="D318" s="136"/>
      <c r="E318" s="136"/>
      <c r="F318" s="136"/>
      <c r="G318" s="136"/>
      <c r="H318" s="136"/>
      <c r="I318" s="136"/>
      <c r="J318" s="136"/>
      <c r="K318" s="136"/>
    </row>
    <row r="319" ht="15.75" customHeight="1">
      <c r="A319" s="136"/>
      <c r="B319" s="136"/>
      <c r="C319" s="136"/>
      <c r="D319" s="136"/>
      <c r="E319" s="136"/>
      <c r="F319" s="136"/>
      <c r="G319" s="136"/>
      <c r="H319" s="136"/>
      <c r="I319" s="136"/>
      <c r="J319" s="136"/>
      <c r="K319" s="136"/>
    </row>
    <row r="320" ht="15.75" customHeight="1">
      <c r="A320" s="136"/>
      <c r="B320" s="136"/>
      <c r="C320" s="136"/>
      <c r="D320" s="136"/>
      <c r="E320" s="136"/>
      <c r="F320" s="136"/>
      <c r="G320" s="136"/>
      <c r="H320" s="136"/>
      <c r="I320" s="136"/>
      <c r="J320" s="136"/>
      <c r="K320" s="136"/>
    </row>
    <row r="321" ht="15.75" customHeight="1">
      <c r="A321" s="136"/>
      <c r="B321" s="136"/>
      <c r="C321" s="136"/>
      <c r="D321" s="136"/>
      <c r="E321" s="136"/>
      <c r="F321" s="136"/>
      <c r="G321" s="136"/>
      <c r="H321" s="136"/>
      <c r="I321" s="136"/>
      <c r="J321" s="136"/>
      <c r="K321" s="136"/>
    </row>
    <row r="322" ht="15.75" customHeight="1">
      <c r="A322" s="136"/>
      <c r="B322" s="136"/>
      <c r="C322" s="136"/>
      <c r="D322" s="136"/>
      <c r="E322" s="136"/>
      <c r="F322" s="136"/>
      <c r="G322" s="136"/>
      <c r="H322" s="136"/>
      <c r="I322" s="136"/>
      <c r="J322" s="136"/>
      <c r="K322" s="136"/>
    </row>
    <row r="323" ht="15.75" customHeight="1">
      <c r="A323" s="136"/>
      <c r="B323" s="136"/>
      <c r="C323" s="136"/>
      <c r="D323" s="136"/>
      <c r="E323" s="136"/>
      <c r="F323" s="136"/>
      <c r="G323" s="136"/>
      <c r="H323" s="136"/>
      <c r="I323" s="136"/>
      <c r="J323" s="136"/>
      <c r="K323" s="136"/>
    </row>
    <row r="324" ht="15.75" customHeight="1">
      <c r="A324" s="136"/>
      <c r="B324" s="136"/>
      <c r="C324" s="136"/>
      <c r="D324" s="136"/>
      <c r="E324" s="136"/>
      <c r="F324" s="136"/>
      <c r="G324" s="136"/>
      <c r="H324" s="136"/>
      <c r="I324" s="136"/>
      <c r="J324" s="136"/>
      <c r="K324" s="136"/>
    </row>
    <row r="325" ht="15.75" customHeight="1">
      <c r="A325" s="136"/>
      <c r="B325" s="136"/>
      <c r="C325" s="136"/>
      <c r="D325" s="136"/>
      <c r="E325" s="136"/>
      <c r="F325" s="136"/>
      <c r="G325" s="136"/>
      <c r="H325" s="136"/>
      <c r="I325" s="136"/>
      <c r="J325" s="136"/>
      <c r="K325" s="136"/>
    </row>
    <row r="326" ht="15.75" customHeight="1">
      <c r="A326" s="136"/>
      <c r="B326" s="136"/>
      <c r="C326" s="136"/>
      <c r="D326" s="136"/>
      <c r="E326" s="136"/>
      <c r="F326" s="136"/>
      <c r="G326" s="136"/>
      <c r="H326" s="136"/>
      <c r="I326" s="136"/>
      <c r="J326" s="136"/>
      <c r="K326" s="136"/>
    </row>
    <row r="327" ht="15.75" customHeight="1">
      <c r="A327" s="136"/>
      <c r="B327" s="136"/>
      <c r="C327" s="136"/>
      <c r="D327" s="136"/>
      <c r="E327" s="136"/>
      <c r="F327" s="136"/>
      <c r="G327" s="136"/>
      <c r="H327" s="136"/>
      <c r="I327" s="136"/>
      <c r="J327" s="136"/>
      <c r="K327" s="136"/>
    </row>
    <row r="328" ht="15.75" customHeight="1">
      <c r="A328" s="136"/>
      <c r="B328" s="136"/>
      <c r="C328" s="136"/>
      <c r="D328" s="136"/>
      <c r="E328" s="136"/>
      <c r="F328" s="136"/>
      <c r="G328" s="136"/>
      <c r="H328" s="136"/>
      <c r="I328" s="136"/>
      <c r="J328" s="136"/>
      <c r="K328" s="136"/>
    </row>
    <row r="329" ht="15.75" customHeight="1">
      <c r="A329" s="136"/>
      <c r="B329" s="136"/>
      <c r="C329" s="136"/>
      <c r="D329" s="136"/>
      <c r="E329" s="136"/>
      <c r="F329" s="136"/>
      <c r="G329" s="136"/>
      <c r="H329" s="136"/>
      <c r="I329" s="136"/>
      <c r="J329" s="136"/>
      <c r="K329" s="136"/>
    </row>
    <row r="330" ht="15.75" customHeight="1">
      <c r="A330" s="136"/>
      <c r="B330" s="136"/>
      <c r="C330" s="136"/>
      <c r="D330" s="136"/>
      <c r="E330" s="136"/>
      <c r="F330" s="136"/>
      <c r="G330" s="136"/>
      <c r="H330" s="136"/>
      <c r="I330" s="136"/>
      <c r="J330" s="136"/>
      <c r="K330" s="136"/>
    </row>
    <row r="331" ht="15.75" customHeight="1">
      <c r="A331" s="136"/>
      <c r="B331" s="136"/>
      <c r="C331" s="136"/>
      <c r="D331" s="136"/>
      <c r="E331" s="136"/>
      <c r="F331" s="136"/>
      <c r="G331" s="136"/>
      <c r="H331" s="136"/>
      <c r="I331" s="136"/>
      <c r="J331" s="136"/>
      <c r="K331" s="136"/>
    </row>
    <row r="332" ht="15.75" customHeight="1">
      <c r="A332" s="136"/>
      <c r="B332" s="136"/>
      <c r="C332" s="136"/>
      <c r="D332" s="136"/>
      <c r="E332" s="136"/>
      <c r="F332" s="136"/>
      <c r="G332" s="136"/>
      <c r="H332" s="136"/>
      <c r="I332" s="136"/>
      <c r="J332" s="136"/>
      <c r="K332" s="136"/>
    </row>
    <row r="333" ht="15.75" customHeight="1">
      <c r="A333" s="136"/>
      <c r="B333" s="136"/>
      <c r="C333" s="136"/>
      <c r="D333" s="136"/>
      <c r="E333" s="136"/>
      <c r="F333" s="136"/>
      <c r="G333" s="136"/>
      <c r="H333" s="136"/>
      <c r="I333" s="136"/>
      <c r="J333" s="136"/>
      <c r="K333" s="136"/>
    </row>
    <row r="334" ht="15.75" customHeight="1">
      <c r="A334" s="136"/>
      <c r="B334" s="136"/>
      <c r="C334" s="136"/>
      <c r="D334" s="136"/>
      <c r="E334" s="136"/>
      <c r="F334" s="136"/>
      <c r="G334" s="136"/>
      <c r="H334" s="136"/>
      <c r="I334" s="136"/>
      <c r="J334" s="136"/>
      <c r="K334" s="136"/>
    </row>
    <row r="335" ht="15.75" customHeight="1">
      <c r="A335" s="136"/>
      <c r="B335" s="136"/>
      <c r="C335" s="136"/>
      <c r="D335" s="136"/>
      <c r="E335" s="136"/>
      <c r="F335" s="136"/>
      <c r="G335" s="136"/>
      <c r="H335" s="136"/>
      <c r="I335" s="136"/>
      <c r="J335" s="136"/>
      <c r="K335" s="136"/>
    </row>
    <row r="336" ht="15.75" customHeight="1">
      <c r="A336" s="136"/>
      <c r="B336" s="136"/>
      <c r="C336" s="136"/>
      <c r="D336" s="136"/>
      <c r="E336" s="136"/>
      <c r="F336" s="136"/>
      <c r="G336" s="136"/>
      <c r="H336" s="136"/>
      <c r="I336" s="136"/>
      <c r="J336" s="136"/>
      <c r="K336" s="136"/>
    </row>
    <row r="337" ht="15.75" customHeight="1">
      <c r="A337" s="136"/>
      <c r="B337" s="136"/>
      <c r="C337" s="136"/>
      <c r="D337" s="136"/>
      <c r="E337" s="136"/>
      <c r="F337" s="136"/>
      <c r="G337" s="136"/>
      <c r="H337" s="136"/>
      <c r="I337" s="136"/>
      <c r="J337" s="136"/>
      <c r="K337" s="136"/>
    </row>
    <row r="338" ht="15.75" customHeight="1">
      <c r="A338" s="136"/>
      <c r="B338" s="136"/>
      <c r="C338" s="136"/>
      <c r="D338" s="136"/>
      <c r="E338" s="136"/>
      <c r="F338" s="136"/>
      <c r="G338" s="136"/>
      <c r="H338" s="136"/>
      <c r="I338" s="136"/>
      <c r="J338" s="136"/>
      <c r="K338" s="136"/>
    </row>
    <row r="339" ht="15.75" customHeight="1">
      <c r="A339" s="136"/>
      <c r="B339" s="136"/>
      <c r="C339" s="136"/>
      <c r="D339" s="136"/>
      <c r="E339" s="136"/>
      <c r="F339" s="136"/>
      <c r="G339" s="136"/>
      <c r="H339" s="136"/>
      <c r="I339" s="136"/>
      <c r="J339" s="136"/>
      <c r="K339" s="136"/>
    </row>
    <row r="340" ht="15.75" customHeight="1">
      <c r="A340" s="136"/>
      <c r="B340" s="136"/>
      <c r="C340" s="136"/>
      <c r="D340" s="136"/>
      <c r="E340" s="136"/>
      <c r="F340" s="136"/>
      <c r="G340" s="136"/>
      <c r="H340" s="136"/>
      <c r="I340" s="136"/>
      <c r="J340" s="136"/>
      <c r="K340" s="136"/>
    </row>
    <row r="341" ht="15.75" customHeight="1">
      <c r="A341" s="136"/>
      <c r="B341" s="136"/>
      <c r="C341" s="136"/>
      <c r="D341" s="136"/>
      <c r="E341" s="136"/>
      <c r="F341" s="136"/>
      <c r="G341" s="136"/>
      <c r="H341" s="136"/>
      <c r="I341" s="136"/>
      <c r="J341" s="136"/>
      <c r="K341" s="136"/>
    </row>
    <row r="342" ht="15.75" customHeight="1">
      <c r="A342" s="136"/>
      <c r="B342" s="136"/>
      <c r="C342" s="136"/>
      <c r="D342" s="136"/>
      <c r="E342" s="136"/>
      <c r="F342" s="136"/>
      <c r="G342" s="136"/>
      <c r="H342" s="136"/>
      <c r="I342" s="136"/>
      <c r="J342" s="136"/>
      <c r="K342" s="136"/>
    </row>
    <row r="343" ht="15.75" customHeight="1">
      <c r="A343" s="136"/>
      <c r="B343" s="136"/>
      <c r="C343" s="136"/>
      <c r="D343" s="136"/>
      <c r="E343" s="136"/>
      <c r="F343" s="136"/>
      <c r="G343" s="136"/>
      <c r="H343" s="136"/>
      <c r="I343" s="136"/>
      <c r="J343" s="136"/>
      <c r="K343" s="136"/>
    </row>
    <row r="344" ht="15.75" customHeight="1">
      <c r="A344" s="136"/>
      <c r="B344" s="136"/>
      <c r="C344" s="136"/>
      <c r="D344" s="136"/>
      <c r="E344" s="136"/>
      <c r="F344" s="136"/>
      <c r="G344" s="136"/>
      <c r="H344" s="136"/>
      <c r="I344" s="136"/>
      <c r="J344" s="136"/>
      <c r="K344" s="136"/>
    </row>
    <row r="345" ht="15.75" customHeight="1">
      <c r="A345" s="136"/>
      <c r="B345" s="136"/>
      <c r="C345" s="136"/>
      <c r="D345" s="136"/>
      <c r="E345" s="136"/>
      <c r="F345" s="136"/>
      <c r="G345" s="136"/>
      <c r="H345" s="136"/>
      <c r="I345" s="136"/>
      <c r="J345" s="136"/>
      <c r="K345" s="136"/>
    </row>
    <row r="346" ht="15.75" customHeight="1">
      <c r="A346" s="136"/>
      <c r="B346" s="136"/>
      <c r="C346" s="136"/>
      <c r="D346" s="136"/>
      <c r="E346" s="136"/>
      <c r="F346" s="136"/>
      <c r="G346" s="136"/>
      <c r="H346" s="136"/>
      <c r="I346" s="136"/>
      <c r="J346" s="136"/>
      <c r="K346" s="136"/>
    </row>
    <row r="347" ht="15.75" customHeight="1">
      <c r="A347" s="136"/>
      <c r="B347" s="136"/>
      <c r="C347" s="136"/>
      <c r="D347" s="136"/>
      <c r="E347" s="136"/>
      <c r="F347" s="136"/>
      <c r="G347" s="136"/>
      <c r="H347" s="136"/>
      <c r="I347" s="136"/>
      <c r="J347" s="136"/>
      <c r="K347" s="136"/>
    </row>
    <row r="348" ht="15.75" customHeight="1">
      <c r="A348" s="136"/>
      <c r="B348" s="136"/>
      <c r="C348" s="136"/>
      <c r="D348" s="136"/>
      <c r="E348" s="136"/>
      <c r="F348" s="136"/>
      <c r="G348" s="136"/>
      <c r="H348" s="136"/>
      <c r="I348" s="136"/>
      <c r="J348" s="136"/>
      <c r="K348" s="136"/>
    </row>
    <row r="349" ht="15.75" customHeight="1">
      <c r="A349" s="136"/>
      <c r="B349" s="136"/>
      <c r="C349" s="136"/>
      <c r="D349" s="136"/>
      <c r="E349" s="136"/>
      <c r="F349" s="136"/>
      <c r="G349" s="136"/>
      <c r="H349" s="136"/>
      <c r="I349" s="136"/>
      <c r="J349" s="136"/>
      <c r="K349" s="136"/>
    </row>
    <row r="350" ht="15.75" customHeight="1">
      <c r="A350" s="136"/>
      <c r="B350" s="136"/>
      <c r="C350" s="136"/>
      <c r="D350" s="136"/>
      <c r="E350" s="136"/>
      <c r="F350" s="136"/>
      <c r="G350" s="136"/>
      <c r="H350" s="136"/>
      <c r="I350" s="136"/>
      <c r="J350" s="136"/>
      <c r="K350" s="136"/>
    </row>
    <row r="351" ht="15.75" customHeight="1">
      <c r="A351" s="136"/>
      <c r="B351" s="136"/>
      <c r="C351" s="136"/>
      <c r="D351" s="136"/>
      <c r="E351" s="136"/>
      <c r="F351" s="136"/>
      <c r="G351" s="136"/>
      <c r="H351" s="136"/>
      <c r="I351" s="136"/>
      <c r="J351" s="136"/>
      <c r="K351" s="136"/>
    </row>
    <row r="352" ht="15.75" customHeight="1">
      <c r="A352" s="136"/>
      <c r="B352" s="136"/>
      <c r="C352" s="136"/>
      <c r="D352" s="136"/>
      <c r="E352" s="136"/>
      <c r="F352" s="136"/>
      <c r="G352" s="136"/>
      <c r="H352" s="136"/>
      <c r="I352" s="136"/>
      <c r="J352" s="136"/>
      <c r="K352" s="136"/>
    </row>
    <row r="353" ht="15.75" customHeight="1">
      <c r="A353" s="136"/>
      <c r="B353" s="136"/>
      <c r="C353" s="136"/>
      <c r="D353" s="136"/>
      <c r="E353" s="136"/>
      <c r="F353" s="136"/>
      <c r="G353" s="136"/>
      <c r="H353" s="136"/>
      <c r="I353" s="136"/>
      <c r="J353" s="136"/>
      <c r="K353" s="136"/>
    </row>
    <row r="354" ht="15.75" customHeight="1">
      <c r="A354" s="136"/>
      <c r="B354" s="136"/>
      <c r="C354" s="136"/>
      <c r="D354" s="136"/>
      <c r="E354" s="136"/>
      <c r="F354" s="136"/>
      <c r="G354" s="136"/>
      <c r="H354" s="136"/>
      <c r="I354" s="136"/>
      <c r="J354" s="136"/>
      <c r="K354" s="136"/>
    </row>
    <row r="355" ht="15.75" customHeight="1">
      <c r="A355" s="136"/>
      <c r="B355" s="136"/>
      <c r="C355" s="136"/>
      <c r="D355" s="136"/>
      <c r="E355" s="136"/>
      <c r="F355" s="136"/>
      <c r="G355" s="136"/>
      <c r="H355" s="136"/>
      <c r="I355" s="136"/>
      <c r="J355" s="136"/>
      <c r="K355" s="136"/>
    </row>
    <row r="356" ht="15.75" customHeight="1">
      <c r="A356" s="136"/>
      <c r="B356" s="136"/>
      <c r="C356" s="136"/>
      <c r="D356" s="136"/>
      <c r="E356" s="136"/>
      <c r="F356" s="136"/>
      <c r="G356" s="136"/>
      <c r="H356" s="136"/>
      <c r="I356" s="136"/>
      <c r="J356" s="136"/>
      <c r="K356" s="136"/>
    </row>
    <row r="357" ht="15.75" customHeight="1">
      <c r="A357" s="136"/>
      <c r="B357" s="136"/>
      <c r="C357" s="136"/>
      <c r="D357" s="136"/>
      <c r="E357" s="136"/>
      <c r="F357" s="136"/>
      <c r="G357" s="136"/>
      <c r="H357" s="136"/>
      <c r="I357" s="136"/>
      <c r="J357" s="136"/>
      <c r="K357" s="136"/>
    </row>
    <row r="358" ht="15.75" customHeight="1">
      <c r="A358" s="136"/>
      <c r="B358" s="136"/>
      <c r="C358" s="136"/>
      <c r="D358" s="136"/>
      <c r="E358" s="136"/>
      <c r="F358" s="136"/>
      <c r="G358" s="136"/>
      <c r="H358" s="136"/>
      <c r="I358" s="136"/>
      <c r="J358" s="136"/>
      <c r="K358" s="136"/>
    </row>
    <row r="359" ht="15.75" customHeight="1">
      <c r="A359" s="136"/>
      <c r="B359" s="136"/>
      <c r="C359" s="136"/>
      <c r="D359" s="136"/>
      <c r="E359" s="136"/>
      <c r="F359" s="136"/>
      <c r="G359" s="136"/>
      <c r="H359" s="136"/>
      <c r="I359" s="136"/>
      <c r="J359" s="136"/>
      <c r="K359" s="136"/>
    </row>
    <row r="360" ht="15.75" customHeight="1">
      <c r="A360" s="136"/>
      <c r="B360" s="136"/>
      <c r="C360" s="136"/>
      <c r="D360" s="136"/>
      <c r="E360" s="136"/>
      <c r="F360" s="136"/>
      <c r="G360" s="136"/>
      <c r="H360" s="136"/>
      <c r="I360" s="136"/>
      <c r="J360" s="136"/>
      <c r="K360" s="136"/>
    </row>
    <row r="361" ht="15.75" customHeight="1">
      <c r="A361" s="136"/>
      <c r="B361" s="136"/>
      <c r="C361" s="136"/>
      <c r="D361" s="136"/>
      <c r="E361" s="136"/>
      <c r="F361" s="136"/>
      <c r="G361" s="136"/>
      <c r="H361" s="136"/>
      <c r="I361" s="136"/>
      <c r="J361" s="136"/>
      <c r="K361" s="136"/>
    </row>
    <row r="362" ht="15.75" customHeight="1">
      <c r="A362" s="136"/>
      <c r="B362" s="136"/>
      <c r="C362" s="136"/>
      <c r="D362" s="136"/>
      <c r="E362" s="136"/>
      <c r="F362" s="136"/>
      <c r="G362" s="136"/>
      <c r="H362" s="136"/>
      <c r="I362" s="136"/>
      <c r="J362" s="136"/>
      <c r="K362" s="136"/>
    </row>
    <row r="363" ht="15.75" customHeight="1">
      <c r="A363" s="136"/>
      <c r="B363" s="136"/>
      <c r="C363" s="136"/>
      <c r="D363" s="136"/>
      <c r="E363" s="136"/>
      <c r="F363" s="136"/>
      <c r="G363" s="136"/>
      <c r="H363" s="136"/>
      <c r="I363" s="136"/>
      <c r="J363" s="136"/>
      <c r="K363" s="136"/>
    </row>
    <row r="364" ht="15.75" customHeight="1">
      <c r="A364" s="136"/>
      <c r="B364" s="136"/>
      <c r="C364" s="136"/>
      <c r="D364" s="136"/>
      <c r="E364" s="136"/>
      <c r="F364" s="136"/>
      <c r="G364" s="136"/>
      <c r="H364" s="136"/>
      <c r="I364" s="136"/>
      <c r="J364" s="136"/>
      <c r="K364" s="136"/>
    </row>
    <row r="365" ht="15.75" customHeight="1">
      <c r="A365" s="136"/>
      <c r="B365" s="136"/>
      <c r="C365" s="136"/>
      <c r="D365" s="136"/>
      <c r="E365" s="136"/>
      <c r="F365" s="136"/>
      <c r="G365" s="136"/>
      <c r="H365" s="136"/>
      <c r="I365" s="136"/>
      <c r="J365" s="136"/>
      <c r="K365" s="136"/>
    </row>
    <row r="366" ht="15.75" customHeight="1">
      <c r="A366" s="136"/>
      <c r="B366" s="136"/>
      <c r="C366" s="136"/>
      <c r="D366" s="136"/>
      <c r="E366" s="136"/>
      <c r="F366" s="136"/>
      <c r="G366" s="136"/>
      <c r="H366" s="136"/>
      <c r="I366" s="136"/>
      <c r="J366" s="136"/>
      <c r="K366" s="136"/>
    </row>
    <row r="367" ht="15.75" customHeight="1">
      <c r="A367" s="136"/>
      <c r="B367" s="136"/>
      <c r="C367" s="136"/>
      <c r="D367" s="136"/>
      <c r="E367" s="136"/>
      <c r="F367" s="136"/>
      <c r="G367" s="136"/>
      <c r="H367" s="136"/>
      <c r="I367" s="136"/>
      <c r="J367" s="136"/>
      <c r="K367" s="136"/>
    </row>
    <row r="368" ht="15.75" customHeight="1">
      <c r="A368" s="136"/>
      <c r="B368" s="136"/>
      <c r="C368" s="136"/>
      <c r="D368" s="136"/>
      <c r="E368" s="136"/>
      <c r="F368" s="136"/>
      <c r="G368" s="136"/>
      <c r="H368" s="136"/>
      <c r="I368" s="136"/>
      <c r="J368" s="136"/>
      <c r="K368" s="136"/>
    </row>
    <row r="369" ht="15.75" customHeight="1">
      <c r="A369" s="136"/>
      <c r="B369" s="136"/>
      <c r="C369" s="136"/>
      <c r="D369" s="136"/>
      <c r="E369" s="136"/>
      <c r="F369" s="136"/>
      <c r="G369" s="136"/>
      <c r="H369" s="136"/>
      <c r="I369" s="136"/>
      <c r="J369" s="136"/>
      <c r="K369" s="136"/>
    </row>
    <row r="370" ht="15.75" customHeight="1">
      <c r="A370" s="136"/>
      <c r="B370" s="136"/>
      <c r="C370" s="136"/>
      <c r="D370" s="136"/>
      <c r="E370" s="136"/>
      <c r="F370" s="136"/>
      <c r="G370" s="136"/>
      <c r="H370" s="136"/>
      <c r="I370" s="136"/>
      <c r="J370" s="136"/>
      <c r="K370" s="136"/>
    </row>
    <row r="371" ht="15.75" customHeight="1">
      <c r="A371" s="136"/>
      <c r="B371" s="136"/>
      <c r="C371" s="136"/>
      <c r="D371" s="136"/>
      <c r="E371" s="136"/>
      <c r="F371" s="136"/>
      <c r="G371" s="136"/>
      <c r="H371" s="136"/>
      <c r="I371" s="136"/>
      <c r="J371" s="136"/>
      <c r="K371" s="136"/>
    </row>
    <row r="372" ht="15.75" customHeight="1">
      <c r="A372" s="136"/>
      <c r="B372" s="136"/>
      <c r="C372" s="136"/>
      <c r="D372" s="136"/>
      <c r="E372" s="136"/>
      <c r="F372" s="136"/>
      <c r="G372" s="136"/>
      <c r="H372" s="136"/>
      <c r="I372" s="136"/>
      <c r="J372" s="136"/>
      <c r="K372" s="136"/>
    </row>
    <row r="373" ht="15.75" customHeight="1">
      <c r="A373" s="136"/>
      <c r="B373" s="136"/>
      <c r="C373" s="136"/>
      <c r="D373" s="136"/>
      <c r="E373" s="136"/>
      <c r="F373" s="136"/>
      <c r="G373" s="136"/>
      <c r="H373" s="136"/>
      <c r="I373" s="136"/>
      <c r="J373" s="136"/>
      <c r="K373" s="136"/>
    </row>
    <row r="374" ht="15.75" customHeight="1">
      <c r="A374" s="136"/>
      <c r="B374" s="136"/>
      <c r="C374" s="136"/>
      <c r="D374" s="136"/>
      <c r="E374" s="136"/>
      <c r="F374" s="136"/>
      <c r="G374" s="136"/>
      <c r="H374" s="136"/>
      <c r="I374" s="136"/>
      <c r="J374" s="136"/>
      <c r="K374" s="136"/>
    </row>
    <row r="375" ht="15.75" customHeight="1">
      <c r="A375" s="136"/>
      <c r="B375" s="136"/>
      <c r="C375" s="136"/>
      <c r="D375" s="136"/>
      <c r="E375" s="136"/>
      <c r="F375" s="136"/>
      <c r="G375" s="136"/>
      <c r="H375" s="136"/>
      <c r="I375" s="136"/>
      <c r="J375" s="136"/>
      <c r="K375" s="136"/>
    </row>
    <row r="376" ht="15.75" customHeight="1">
      <c r="A376" s="136"/>
      <c r="B376" s="136"/>
      <c r="C376" s="136"/>
      <c r="D376" s="136"/>
      <c r="E376" s="136"/>
      <c r="F376" s="136"/>
      <c r="G376" s="136"/>
      <c r="H376" s="136"/>
      <c r="I376" s="136"/>
      <c r="J376" s="136"/>
      <c r="K376" s="136"/>
    </row>
    <row r="377" ht="15.75" customHeight="1">
      <c r="A377" s="136"/>
      <c r="B377" s="136"/>
      <c r="C377" s="136"/>
      <c r="D377" s="136"/>
      <c r="E377" s="136"/>
      <c r="F377" s="136"/>
      <c r="G377" s="136"/>
      <c r="H377" s="136"/>
      <c r="I377" s="136"/>
      <c r="J377" s="136"/>
      <c r="K377" s="136"/>
    </row>
    <row r="378" ht="15.75" customHeight="1">
      <c r="A378" s="136"/>
      <c r="B378" s="136"/>
      <c r="C378" s="136"/>
      <c r="D378" s="136"/>
      <c r="E378" s="136"/>
      <c r="F378" s="136"/>
      <c r="G378" s="136"/>
      <c r="H378" s="136"/>
      <c r="I378" s="136"/>
      <c r="J378" s="136"/>
      <c r="K378" s="136"/>
    </row>
    <row r="379" ht="15.75" customHeight="1">
      <c r="A379" s="136"/>
      <c r="B379" s="136"/>
      <c r="C379" s="136"/>
      <c r="D379" s="136"/>
      <c r="E379" s="136"/>
      <c r="F379" s="136"/>
      <c r="G379" s="136"/>
      <c r="H379" s="136"/>
      <c r="I379" s="136"/>
      <c r="J379" s="136"/>
      <c r="K379" s="136"/>
    </row>
    <row r="380" ht="15.75" customHeight="1">
      <c r="A380" s="136"/>
      <c r="B380" s="136"/>
      <c r="C380" s="136"/>
      <c r="D380" s="136"/>
      <c r="E380" s="136"/>
      <c r="F380" s="136"/>
      <c r="G380" s="136"/>
      <c r="H380" s="136"/>
      <c r="I380" s="136"/>
      <c r="J380" s="136"/>
      <c r="K380" s="136"/>
    </row>
    <row r="381" ht="15.75" customHeight="1">
      <c r="A381" s="136"/>
      <c r="B381" s="136"/>
      <c r="C381" s="136"/>
      <c r="D381" s="136"/>
      <c r="E381" s="136"/>
      <c r="F381" s="136"/>
      <c r="G381" s="136"/>
      <c r="H381" s="136"/>
      <c r="I381" s="136"/>
      <c r="J381" s="136"/>
      <c r="K381" s="136"/>
    </row>
    <row r="382" ht="15.75" customHeight="1">
      <c r="A382" s="136"/>
      <c r="B382" s="136"/>
      <c r="C382" s="136"/>
      <c r="D382" s="136"/>
      <c r="E382" s="136"/>
      <c r="F382" s="136"/>
      <c r="G382" s="136"/>
      <c r="H382" s="136"/>
      <c r="I382" s="136"/>
      <c r="J382" s="136"/>
      <c r="K382" s="136"/>
    </row>
    <row r="383" ht="15.75" customHeight="1">
      <c r="A383" s="136"/>
      <c r="B383" s="136"/>
      <c r="C383" s="136"/>
      <c r="D383" s="136"/>
      <c r="E383" s="136"/>
      <c r="F383" s="136"/>
      <c r="G383" s="136"/>
      <c r="H383" s="136"/>
      <c r="I383" s="136"/>
      <c r="J383" s="136"/>
      <c r="K383" s="136"/>
    </row>
    <row r="384" ht="15.75" customHeight="1">
      <c r="A384" s="136"/>
      <c r="B384" s="136"/>
      <c r="C384" s="136"/>
      <c r="D384" s="136"/>
      <c r="E384" s="136"/>
      <c r="F384" s="136"/>
      <c r="G384" s="136"/>
      <c r="H384" s="136"/>
      <c r="I384" s="136"/>
      <c r="J384" s="136"/>
      <c r="K384" s="136"/>
    </row>
    <row r="385" ht="15.75" customHeight="1">
      <c r="A385" s="136"/>
      <c r="B385" s="136"/>
      <c r="C385" s="136"/>
      <c r="D385" s="136"/>
      <c r="E385" s="136"/>
      <c r="F385" s="136"/>
      <c r="G385" s="136"/>
      <c r="H385" s="136"/>
      <c r="I385" s="136"/>
      <c r="J385" s="136"/>
      <c r="K385" s="136"/>
    </row>
    <row r="386" ht="15.75" customHeight="1">
      <c r="A386" s="136"/>
      <c r="B386" s="136"/>
      <c r="C386" s="136"/>
      <c r="D386" s="136"/>
      <c r="E386" s="136"/>
      <c r="F386" s="136"/>
      <c r="G386" s="136"/>
      <c r="H386" s="136"/>
      <c r="I386" s="136"/>
      <c r="J386" s="136"/>
      <c r="K386" s="136"/>
    </row>
    <row r="387" ht="15.75" customHeight="1">
      <c r="A387" s="136"/>
      <c r="B387" s="136"/>
      <c r="C387" s="136"/>
      <c r="D387" s="136"/>
      <c r="E387" s="136"/>
      <c r="F387" s="136"/>
      <c r="G387" s="136"/>
      <c r="H387" s="136"/>
      <c r="I387" s="136"/>
      <c r="J387" s="136"/>
      <c r="K387" s="136"/>
    </row>
    <row r="388" ht="15.75" customHeight="1">
      <c r="A388" s="136"/>
      <c r="B388" s="136"/>
      <c r="C388" s="136"/>
      <c r="D388" s="136"/>
      <c r="E388" s="136"/>
      <c r="F388" s="136"/>
      <c r="G388" s="136"/>
      <c r="H388" s="136"/>
      <c r="I388" s="136"/>
      <c r="J388" s="136"/>
      <c r="K388" s="136"/>
    </row>
    <row r="389" ht="15.75" customHeight="1">
      <c r="A389" s="136"/>
      <c r="B389" s="136"/>
      <c r="C389" s="136"/>
      <c r="D389" s="136"/>
      <c r="E389" s="136"/>
      <c r="F389" s="136"/>
      <c r="G389" s="136"/>
      <c r="H389" s="136"/>
      <c r="I389" s="136"/>
      <c r="J389" s="136"/>
      <c r="K389" s="136"/>
    </row>
    <row r="390" ht="15.75" customHeight="1">
      <c r="A390" s="136"/>
      <c r="B390" s="136"/>
      <c r="C390" s="136"/>
      <c r="D390" s="136"/>
      <c r="E390" s="136"/>
      <c r="F390" s="136"/>
      <c r="G390" s="136"/>
      <c r="H390" s="136"/>
      <c r="I390" s="136"/>
      <c r="J390" s="136"/>
      <c r="K390" s="136"/>
    </row>
    <row r="391" ht="15.75" customHeight="1">
      <c r="A391" s="136"/>
      <c r="B391" s="136"/>
      <c r="C391" s="136"/>
      <c r="D391" s="136"/>
      <c r="E391" s="136"/>
      <c r="F391" s="136"/>
      <c r="G391" s="136"/>
      <c r="H391" s="136"/>
      <c r="I391" s="136"/>
      <c r="J391" s="136"/>
      <c r="K391" s="136"/>
    </row>
    <row r="392" ht="15.75" customHeight="1">
      <c r="A392" s="136"/>
      <c r="B392" s="136"/>
      <c r="C392" s="136"/>
      <c r="D392" s="136"/>
      <c r="E392" s="136"/>
      <c r="F392" s="136"/>
      <c r="G392" s="136"/>
      <c r="H392" s="136"/>
      <c r="I392" s="136"/>
      <c r="J392" s="136"/>
      <c r="K392" s="136"/>
    </row>
    <row r="393" ht="15.75" customHeight="1">
      <c r="A393" s="136"/>
      <c r="B393" s="136"/>
      <c r="C393" s="136"/>
      <c r="D393" s="136"/>
      <c r="E393" s="136"/>
      <c r="F393" s="136"/>
      <c r="G393" s="136"/>
      <c r="H393" s="136"/>
      <c r="I393" s="136"/>
      <c r="J393" s="136"/>
      <c r="K393" s="136"/>
    </row>
    <row r="394" ht="15.75" customHeight="1">
      <c r="A394" s="136"/>
      <c r="B394" s="136"/>
      <c r="C394" s="136"/>
      <c r="D394" s="136"/>
      <c r="E394" s="136"/>
      <c r="F394" s="136"/>
      <c r="G394" s="136"/>
      <c r="H394" s="136"/>
      <c r="I394" s="136"/>
      <c r="J394" s="136"/>
      <c r="K394" s="136"/>
    </row>
    <row r="395" ht="15.75" customHeight="1">
      <c r="A395" s="136"/>
      <c r="B395" s="136"/>
      <c r="C395" s="136"/>
      <c r="D395" s="136"/>
      <c r="E395" s="136"/>
      <c r="F395" s="136"/>
      <c r="G395" s="136"/>
      <c r="H395" s="136"/>
      <c r="I395" s="136"/>
      <c r="J395" s="136"/>
      <c r="K395" s="136"/>
    </row>
    <row r="396" ht="15.75" customHeight="1">
      <c r="A396" s="136"/>
      <c r="B396" s="136"/>
      <c r="C396" s="136"/>
      <c r="D396" s="136"/>
      <c r="E396" s="136"/>
      <c r="F396" s="136"/>
      <c r="G396" s="136"/>
      <c r="H396" s="136"/>
      <c r="I396" s="136"/>
      <c r="J396" s="136"/>
      <c r="K396" s="136"/>
    </row>
    <row r="397" ht="15.75" customHeight="1">
      <c r="A397" s="136"/>
      <c r="B397" s="136"/>
      <c r="C397" s="136"/>
      <c r="D397" s="136"/>
      <c r="E397" s="136"/>
      <c r="F397" s="136"/>
      <c r="G397" s="136"/>
      <c r="H397" s="136"/>
      <c r="I397" s="136"/>
      <c r="J397" s="136"/>
      <c r="K397" s="136"/>
    </row>
    <row r="398" ht="15.75" customHeight="1">
      <c r="A398" s="136"/>
      <c r="B398" s="136"/>
      <c r="C398" s="136"/>
      <c r="D398" s="136"/>
      <c r="E398" s="136"/>
      <c r="F398" s="136"/>
      <c r="G398" s="136"/>
      <c r="H398" s="136"/>
      <c r="I398" s="136"/>
      <c r="J398" s="136"/>
      <c r="K398" s="136"/>
    </row>
    <row r="399" ht="15.75" customHeight="1">
      <c r="A399" s="136"/>
      <c r="B399" s="136"/>
      <c r="C399" s="136"/>
      <c r="D399" s="136"/>
      <c r="E399" s="136"/>
      <c r="F399" s="136"/>
      <c r="G399" s="136"/>
      <c r="H399" s="136"/>
      <c r="I399" s="136"/>
      <c r="J399" s="136"/>
      <c r="K399" s="136"/>
    </row>
    <row r="400" ht="15.75" customHeight="1">
      <c r="A400" s="136"/>
      <c r="B400" s="136"/>
      <c r="C400" s="136"/>
      <c r="D400" s="136"/>
      <c r="E400" s="136"/>
      <c r="F400" s="136"/>
      <c r="G400" s="136"/>
      <c r="H400" s="136"/>
      <c r="I400" s="136"/>
      <c r="J400" s="136"/>
      <c r="K400" s="136"/>
    </row>
    <row r="401" ht="15.75" customHeight="1">
      <c r="A401" s="136"/>
      <c r="B401" s="136"/>
      <c r="C401" s="136"/>
      <c r="D401" s="136"/>
      <c r="E401" s="136"/>
      <c r="F401" s="136"/>
      <c r="G401" s="136"/>
      <c r="H401" s="136"/>
      <c r="I401" s="136"/>
      <c r="J401" s="136"/>
      <c r="K401" s="136"/>
    </row>
    <row r="402" ht="15.75" customHeight="1">
      <c r="A402" s="136"/>
      <c r="B402" s="136"/>
      <c r="C402" s="136"/>
      <c r="D402" s="136"/>
      <c r="E402" s="136"/>
      <c r="F402" s="136"/>
      <c r="G402" s="136"/>
      <c r="H402" s="136"/>
      <c r="I402" s="136"/>
      <c r="J402" s="136"/>
      <c r="K402" s="136"/>
    </row>
    <row r="403" ht="15.75" customHeight="1">
      <c r="A403" s="136"/>
      <c r="B403" s="136"/>
      <c r="C403" s="136"/>
      <c r="D403" s="136"/>
      <c r="E403" s="136"/>
      <c r="F403" s="136"/>
      <c r="G403" s="136"/>
      <c r="H403" s="136"/>
      <c r="I403" s="136"/>
      <c r="J403" s="136"/>
      <c r="K403" s="136"/>
    </row>
    <row r="404" ht="15.75" customHeight="1">
      <c r="A404" s="136"/>
      <c r="B404" s="136"/>
      <c r="C404" s="136"/>
      <c r="D404" s="136"/>
      <c r="E404" s="136"/>
      <c r="F404" s="136"/>
      <c r="G404" s="136"/>
      <c r="H404" s="136"/>
      <c r="I404" s="136"/>
      <c r="J404" s="136"/>
      <c r="K404" s="136"/>
    </row>
    <row r="405" ht="15.75" customHeight="1">
      <c r="A405" s="136"/>
      <c r="B405" s="136"/>
      <c r="C405" s="136"/>
      <c r="D405" s="136"/>
      <c r="E405" s="136"/>
      <c r="F405" s="136"/>
      <c r="G405" s="136"/>
      <c r="H405" s="136"/>
      <c r="I405" s="136"/>
      <c r="J405" s="136"/>
      <c r="K405" s="136"/>
    </row>
    <row r="406" ht="15.75" customHeight="1">
      <c r="A406" s="136"/>
      <c r="B406" s="136"/>
      <c r="C406" s="136"/>
      <c r="D406" s="136"/>
      <c r="E406" s="136"/>
      <c r="F406" s="136"/>
      <c r="G406" s="136"/>
      <c r="H406" s="136"/>
      <c r="I406" s="136"/>
      <c r="J406" s="136"/>
      <c r="K406" s="136"/>
    </row>
    <row r="407" ht="15.75" customHeight="1">
      <c r="A407" s="136"/>
      <c r="B407" s="136"/>
      <c r="C407" s="136"/>
      <c r="D407" s="136"/>
      <c r="E407" s="136"/>
      <c r="F407" s="136"/>
      <c r="G407" s="136"/>
      <c r="H407" s="136"/>
      <c r="I407" s="136"/>
      <c r="J407" s="136"/>
      <c r="K407" s="136"/>
    </row>
    <row r="408" ht="15.75" customHeight="1">
      <c r="A408" s="136"/>
      <c r="B408" s="136"/>
      <c r="C408" s="136"/>
      <c r="D408" s="136"/>
      <c r="E408" s="136"/>
      <c r="F408" s="136"/>
      <c r="G408" s="136"/>
      <c r="H408" s="136"/>
      <c r="I408" s="136"/>
      <c r="J408" s="136"/>
      <c r="K408" s="136"/>
    </row>
    <row r="409" ht="15.75" customHeight="1">
      <c r="A409" s="136"/>
      <c r="B409" s="136"/>
      <c r="C409" s="136"/>
      <c r="D409" s="136"/>
      <c r="E409" s="136"/>
      <c r="F409" s="136"/>
      <c r="G409" s="136"/>
      <c r="H409" s="136"/>
      <c r="I409" s="136"/>
      <c r="J409" s="136"/>
      <c r="K409" s="136"/>
    </row>
    <row r="410" ht="15.75" customHeight="1">
      <c r="A410" s="136"/>
      <c r="B410" s="136"/>
      <c r="C410" s="136"/>
      <c r="D410" s="136"/>
      <c r="E410" s="136"/>
      <c r="F410" s="136"/>
      <c r="G410" s="136"/>
      <c r="H410" s="136"/>
      <c r="I410" s="136"/>
      <c r="J410" s="136"/>
      <c r="K410" s="136"/>
    </row>
    <row r="411" ht="15.75" customHeight="1">
      <c r="A411" s="136"/>
      <c r="B411" s="136"/>
      <c r="C411" s="136"/>
      <c r="D411" s="136"/>
      <c r="E411" s="136"/>
      <c r="F411" s="136"/>
      <c r="G411" s="136"/>
      <c r="H411" s="136"/>
      <c r="I411" s="136"/>
      <c r="J411" s="136"/>
      <c r="K411" s="136"/>
    </row>
    <row r="412" ht="15.75" customHeight="1">
      <c r="A412" s="136"/>
      <c r="B412" s="136"/>
      <c r="C412" s="136"/>
      <c r="D412" s="136"/>
      <c r="E412" s="136"/>
      <c r="F412" s="136"/>
      <c r="G412" s="136"/>
      <c r="H412" s="136"/>
      <c r="I412" s="136"/>
      <c r="J412" s="136"/>
      <c r="K412" s="136"/>
    </row>
    <row r="413" ht="15.75" customHeight="1">
      <c r="A413" s="136"/>
      <c r="B413" s="136"/>
      <c r="C413" s="136"/>
      <c r="D413" s="136"/>
      <c r="E413" s="136"/>
      <c r="F413" s="136"/>
      <c r="G413" s="136"/>
      <c r="H413" s="136"/>
      <c r="I413" s="136"/>
      <c r="J413" s="136"/>
      <c r="K413" s="136"/>
    </row>
    <row r="414" ht="15.75" customHeight="1">
      <c r="A414" s="136"/>
      <c r="B414" s="136"/>
      <c r="C414" s="136"/>
      <c r="D414" s="136"/>
      <c r="E414" s="136"/>
      <c r="F414" s="136"/>
      <c r="G414" s="136"/>
      <c r="H414" s="136"/>
      <c r="I414" s="136"/>
      <c r="J414" s="136"/>
      <c r="K414" s="136"/>
    </row>
    <row r="415" ht="15.75" customHeight="1">
      <c r="A415" s="136"/>
      <c r="B415" s="136"/>
      <c r="C415" s="136"/>
      <c r="D415" s="136"/>
      <c r="E415" s="136"/>
      <c r="F415" s="136"/>
      <c r="G415" s="136"/>
      <c r="H415" s="136"/>
      <c r="I415" s="136"/>
      <c r="J415" s="136"/>
      <c r="K415" s="136"/>
    </row>
    <row r="416" ht="15.75" customHeight="1">
      <c r="A416" s="136"/>
      <c r="B416" s="136"/>
      <c r="C416" s="136"/>
      <c r="D416" s="136"/>
      <c r="E416" s="136"/>
      <c r="F416" s="136"/>
      <c r="G416" s="136"/>
      <c r="H416" s="136"/>
      <c r="I416" s="136"/>
      <c r="J416" s="136"/>
      <c r="K416" s="136"/>
    </row>
    <row r="417" ht="15.75" customHeight="1">
      <c r="A417" s="136"/>
      <c r="B417" s="136"/>
      <c r="C417" s="136"/>
      <c r="D417" s="136"/>
      <c r="E417" s="136"/>
      <c r="F417" s="136"/>
      <c r="G417" s="136"/>
      <c r="H417" s="136"/>
      <c r="I417" s="136"/>
      <c r="J417" s="136"/>
      <c r="K417" s="136"/>
    </row>
    <row r="418" ht="15.75" customHeight="1">
      <c r="A418" s="136"/>
      <c r="B418" s="136"/>
      <c r="C418" s="136"/>
      <c r="D418" s="136"/>
      <c r="E418" s="136"/>
      <c r="F418" s="136"/>
      <c r="G418" s="136"/>
      <c r="H418" s="136"/>
      <c r="I418" s="136"/>
      <c r="J418" s="136"/>
      <c r="K418" s="136"/>
    </row>
    <row r="419" ht="15.75" customHeight="1">
      <c r="A419" s="136"/>
      <c r="B419" s="136"/>
      <c r="C419" s="136"/>
      <c r="D419" s="136"/>
      <c r="E419" s="136"/>
      <c r="F419" s="136"/>
      <c r="G419" s="136"/>
      <c r="H419" s="136"/>
      <c r="I419" s="136"/>
      <c r="J419" s="136"/>
      <c r="K419" s="136"/>
    </row>
    <row r="420" ht="15.75" customHeight="1">
      <c r="A420" s="136"/>
      <c r="B420" s="136"/>
      <c r="C420" s="136"/>
      <c r="D420" s="136"/>
      <c r="E420" s="136"/>
      <c r="F420" s="136"/>
      <c r="G420" s="136"/>
      <c r="H420" s="136"/>
      <c r="I420" s="136"/>
      <c r="J420" s="136"/>
      <c r="K420" s="136"/>
    </row>
    <row r="421" ht="15.75" customHeight="1">
      <c r="A421" s="136"/>
      <c r="B421" s="136"/>
      <c r="C421" s="136"/>
      <c r="D421" s="136"/>
      <c r="E421" s="136"/>
      <c r="F421" s="136"/>
      <c r="G421" s="136"/>
      <c r="H421" s="136"/>
      <c r="I421" s="136"/>
      <c r="J421" s="136"/>
      <c r="K421" s="136"/>
    </row>
    <row r="422" ht="15.75" customHeight="1">
      <c r="A422" s="136"/>
      <c r="B422" s="136"/>
      <c r="C422" s="136"/>
      <c r="D422" s="136"/>
      <c r="E422" s="136"/>
      <c r="F422" s="136"/>
      <c r="G422" s="136"/>
      <c r="H422" s="136"/>
      <c r="I422" s="136"/>
      <c r="J422" s="136"/>
      <c r="K422" s="136"/>
    </row>
    <row r="423" ht="15.75" customHeight="1">
      <c r="A423" s="136"/>
      <c r="B423" s="136"/>
      <c r="C423" s="136"/>
      <c r="D423" s="136"/>
      <c r="E423" s="136"/>
      <c r="F423" s="136"/>
      <c r="G423" s="136"/>
      <c r="H423" s="136"/>
      <c r="I423" s="136"/>
      <c r="J423" s="136"/>
      <c r="K423" s="136"/>
    </row>
    <row r="424" ht="15.75" customHeight="1">
      <c r="A424" s="136"/>
      <c r="B424" s="136"/>
      <c r="C424" s="136"/>
      <c r="D424" s="136"/>
      <c r="E424" s="136"/>
      <c r="F424" s="136"/>
      <c r="G424" s="136"/>
      <c r="H424" s="136"/>
      <c r="I424" s="136"/>
      <c r="J424" s="136"/>
      <c r="K424" s="136"/>
    </row>
    <row r="425" ht="15.75" customHeight="1">
      <c r="A425" s="136"/>
      <c r="B425" s="136"/>
      <c r="C425" s="136"/>
      <c r="D425" s="136"/>
      <c r="E425" s="136"/>
      <c r="F425" s="136"/>
      <c r="G425" s="136"/>
      <c r="H425" s="136"/>
      <c r="I425" s="136"/>
      <c r="J425" s="136"/>
      <c r="K425" s="136"/>
    </row>
    <row r="426" ht="15.75" customHeight="1">
      <c r="A426" s="136"/>
      <c r="B426" s="136"/>
      <c r="C426" s="136"/>
      <c r="D426" s="136"/>
      <c r="E426" s="136"/>
      <c r="F426" s="136"/>
      <c r="G426" s="136"/>
      <c r="H426" s="136"/>
      <c r="I426" s="136"/>
      <c r="J426" s="136"/>
      <c r="K426" s="136"/>
    </row>
    <row r="427" ht="15.75" customHeight="1">
      <c r="A427" s="136"/>
      <c r="B427" s="136"/>
      <c r="C427" s="136"/>
      <c r="D427" s="136"/>
      <c r="E427" s="136"/>
      <c r="F427" s="136"/>
      <c r="G427" s="136"/>
      <c r="H427" s="136"/>
      <c r="I427" s="136"/>
      <c r="J427" s="136"/>
      <c r="K427" s="136"/>
    </row>
    <row r="428" ht="15.75" customHeight="1">
      <c r="A428" s="136"/>
      <c r="B428" s="136"/>
      <c r="C428" s="136"/>
      <c r="D428" s="136"/>
      <c r="E428" s="136"/>
      <c r="F428" s="136"/>
      <c r="G428" s="136"/>
      <c r="H428" s="136"/>
      <c r="I428" s="136"/>
      <c r="J428" s="136"/>
      <c r="K428" s="136"/>
    </row>
    <row r="429" ht="15.75" customHeight="1">
      <c r="A429" s="136"/>
      <c r="B429" s="136"/>
      <c r="C429" s="136"/>
      <c r="D429" s="136"/>
      <c r="E429" s="136"/>
      <c r="F429" s="136"/>
      <c r="G429" s="136"/>
      <c r="H429" s="136"/>
      <c r="I429" s="136"/>
      <c r="J429" s="136"/>
      <c r="K429" s="136"/>
    </row>
    <row r="430" ht="15.75" customHeight="1">
      <c r="A430" s="136"/>
      <c r="B430" s="136"/>
      <c r="C430" s="136"/>
      <c r="D430" s="136"/>
      <c r="E430" s="136"/>
      <c r="F430" s="136"/>
      <c r="G430" s="136"/>
      <c r="H430" s="136"/>
      <c r="I430" s="136"/>
      <c r="J430" s="136"/>
      <c r="K430" s="136"/>
    </row>
    <row r="431" ht="15.75" customHeight="1">
      <c r="A431" s="136"/>
      <c r="B431" s="136"/>
      <c r="C431" s="136"/>
      <c r="D431" s="136"/>
      <c r="E431" s="136"/>
      <c r="F431" s="136"/>
      <c r="G431" s="136"/>
      <c r="H431" s="136"/>
      <c r="I431" s="136"/>
      <c r="J431" s="136"/>
      <c r="K431" s="136"/>
    </row>
    <row r="432" ht="15.75" customHeight="1">
      <c r="A432" s="136"/>
      <c r="B432" s="136"/>
      <c r="C432" s="136"/>
      <c r="D432" s="136"/>
      <c r="E432" s="136"/>
      <c r="F432" s="136"/>
      <c r="G432" s="136"/>
      <c r="H432" s="136"/>
      <c r="I432" s="136"/>
      <c r="J432" s="136"/>
      <c r="K432" s="136"/>
    </row>
    <row r="433" ht="15.75" customHeight="1">
      <c r="A433" s="136"/>
      <c r="B433" s="136"/>
      <c r="C433" s="136"/>
      <c r="D433" s="136"/>
      <c r="E433" s="136"/>
      <c r="F433" s="136"/>
      <c r="G433" s="136"/>
      <c r="H433" s="136"/>
      <c r="I433" s="136"/>
      <c r="J433" s="136"/>
      <c r="K433" s="136"/>
    </row>
    <row r="434" ht="15.75" customHeight="1">
      <c r="A434" s="136"/>
      <c r="B434" s="136"/>
      <c r="C434" s="136"/>
      <c r="D434" s="136"/>
      <c r="E434" s="136"/>
      <c r="F434" s="136"/>
      <c r="G434" s="136"/>
      <c r="H434" s="136"/>
      <c r="I434" s="136"/>
      <c r="J434" s="136"/>
      <c r="K434" s="136"/>
    </row>
    <row r="435" ht="15.75" customHeight="1">
      <c r="A435" s="136"/>
      <c r="B435" s="136"/>
      <c r="C435" s="136"/>
      <c r="D435" s="136"/>
      <c r="E435" s="136"/>
      <c r="F435" s="136"/>
      <c r="G435" s="136"/>
      <c r="H435" s="136"/>
      <c r="I435" s="136"/>
      <c r="J435" s="136"/>
      <c r="K435" s="136"/>
    </row>
    <row r="436" ht="15.75" customHeight="1">
      <c r="A436" s="136"/>
      <c r="B436" s="136"/>
      <c r="C436" s="136"/>
      <c r="D436" s="136"/>
      <c r="E436" s="136"/>
      <c r="F436" s="136"/>
      <c r="G436" s="136"/>
      <c r="H436" s="136"/>
      <c r="I436" s="136"/>
      <c r="J436" s="136"/>
      <c r="K436" s="136"/>
    </row>
    <row r="437" ht="15.75" customHeight="1">
      <c r="A437" s="136"/>
      <c r="B437" s="136"/>
      <c r="C437" s="136"/>
      <c r="D437" s="136"/>
      <c r="E437" s="136"/>
      <c r="F437" s="136"/>
      <c r="G437" s="136"/>
      <c r="H437" s="136"/>
      <c r="I437" s="136"/>
      <c r="J437" s="136"/>
      <c r="K437" s="136"/>
    </row>
    <row r="438" ht="15.75" customHeight="1">
      <c r="A438" s="136"/>
      <c r="B438" s="136"/>
      <c r="C438" s="136"/>
      <c r="D438" s="136"/>
      <c r="E438" s="136"/>
      <c r="F438" s="136"/>
      <c r="G438" s="136"/>
      <c r="H438" s="136"/>
      <c r="I438" s="136"/>
      <c r="J438" s="136"/>
      <c r="K438" s="136"/>
    </row>
    <row r="439" ht="15.75" customHeight="1">
      <c r="A439" s="136"/>
      <c r="B439" s="136"/>
      <c r="C439" s="136"/>
      <c r="D439" s="136"/>
      <c r="E439" s="136"/>
      <c r="F439" s="136"/>
      <c r="G439" s="136"/>
      <c r="H439" s="136"/>
      <c r="I439" s="136"/>
      <c r="J439" s="136"/>
      <c r="K439" s="136"/>
    </row>
    <row r="440" ht="15.75" customHeight="1">
      <c r="A440" s="136"/>
      <c r="B440" s="136"/>
      <c r="C440" s="136"/>
      <c r="D440" s="136"/>
      <c r="E440" s="136"/>
      <c r="F440" s="136"/>
      <c r="G440" s="136"/>
      <c r="H440" s="136"/>
      <c r="I440" s="136"/>
      <c r="J440" s="136"/>
      <c r="K440" s="136"/>
    </row>
    <row r="441" ht="15.75" customHeight="1">
      <c r="A441" s="136"/>
      <c r="B441" s="136"/>
      <c r="C441" s="136"/>
      <c r="D441" s="136"/>
      <c r="E441" s="136"/>
      <c r="F441" s="136"/>
      <c r="G441" s="136"/>
      <c r="H441" s="136"/>
      <c r="I441" s="136"/>
      <c r="J441" s="136"/>
      <c r="K441" s="136"/>
    </row>
    <row r="442" ht="15.75" customHeight="1">
      <c r="A442" s="136"/>
      <c r="B442" s="136"/>
      <c r="C442" s="136"/>
      <c r="D442" s="136"/>
      <c r="E442" s="136"/>
      <c r="F442" s="136"/>
      <c r="G442" s="136"/>
      <c r="H442" s="136"/>
      <c r="I442" s="136"/>
      <c r="J442" s="136"/>
      <c r="K442" s="136"/>
    </row>
    <row r="443" ht="15.75" customHeight="1">
      <c r="A443" s="136"/>
      <c r="B443" s="136"/>
      <c r="C443" s="136"/>
      <c r="D443" s="136"/>
      <c r="E443" s="136"/>
      <c r="F443" s="136"/>
      <c r="G443" s="136"/>
      <c r="H443" s="136"/>
      <c r="I443" s="136"/>
      <c r="J443" s="136"/>
      <c r="K443" s="136"/>
    </row>
    <row r="444" ht="15.75" customHeight="1">
      <c r="A444" s="136"/>
      <c r="B444" s="136"/>
      <c r="C444" s="136"/>
      <c r="D444" s="136"/>
      <c r="E444" s="136"/>
      <c r="F444" s="136"/>
      <c r="G444" s="136"/>
      <c r="H444" s="136"/>
      <c r="I444" s="136"/>
      <c r="J444" s="136"/>
      <c r="K444" s="136"/>
    </row>
    <row r="445" ht="15.75" customHeight="1">
      <c r="A445" s="136"/>
      <c r="B445" s="136"/>
      <c r="C445" s="136"/>
      <c r="D445" s="136"/>
      <c r="E445" s="136"/>
      <c r="F445" s="136"/>
      <c r="G445" s="136"/>
      <c r="H445" s="136"/>
      <c r="I445" s="136"/>
      <c r="J445" s="136"/>
      <c r="K445" s="136"/>
    </row>
    <row r="446" ht="15.75" customHeight="1">
      <c r="A446" s="136"/>
      <c r="B446" s="136"/>
      <c r="C446" s="136"/>
      <c r="D446" s="136"/>
      <c r="E446" s="136"/>
      <c r="F446" s="136"/>
      <c r="G446" s="136"/>
      <c r="H446" s="136"/>
      <c r="I446" s="136"/>
      <c r="J446" s="136"/>
      <c r="K446" s="136"/>
    </row>
    <row r="447" ht="15.75" customHeight="1">
      <c r="A447" s="136"/>
      <c r="B447" s="136"/>
      <c r="C447" s="136"/>
      <c r="D447" s="136"/>
      <c r="E447" s="136"/>
      <c r="F447" s="136"/>
      <c r="G447" s="136"/>
      <c r="H447" s="136"/>
      <c r="I447" s="136"/>
      <c r="J447" s="136"/>
      <c r="K447" s="136"/>
    </row>
    <row r="448" ht="15.75" customHeight="1">
      <c r="A448" s="136"/>
      <c r="B448" s="136"/>
      <c r="C448" s="136"/>
      <c r="D448" s="136"/>
      <c r="E448" s="136"/>
      <c r="F448" s="136"/>
      <c r="G448" s="136"/>
      <c r="H448" s="136"/>
      <c r="I448" s="136"/>
      <c r="J448" s="136"/>
      <c r="K448" s="136"/>
    </row>
    <row r="449" ht="15.75" customHeight="1">
      <c r="A449" s="136"/>
      <c r="B449" s="136"/>
      <c r="C449" s="136"/>
      <c r="D449" s="136"/>
      <c r="E449" s="136"/>
      <c r="F449" s="136"/>
      <c r="G449" s="136"/>
      <c r="H449" s="136"/>
      <c r="I449" s="136"/>
      <c r="J449" s="136"/>
      <c r="K449" s="136"/>
    </row>
    <row r="450" ht="15.75" customHeight="1">
      <c r="A450" s="136"/>
      <c r="B450" s="136"/>
      <c r="C450" s="136"/>
      <c r="D450" s="136"/>
      <c r="E450" s="136"/>
      <c r="F450" s="136"/>
      <c r="G450" s="136"/>
      <c r="H450" s="136"/>
      <c r="I450" s="136"/>
      <c r="J450" s="136"/>
      <c r="K450" s="136"/>
    </row>
    <row r="451" ht="15.75" customHeight="1">
      <c r="A451" s="136"/>
      <c r="B451" s="136"/>
      <c r="C451" s="136"/>
      <c r="D451" s="136"/>
      <c r="E451" s="136"/>
      <c r="F451" s="136"/>
      <c r="G451" s="136"/>
      <c r="H451" s="136"/>
      <c r="I451" s="136"/>
      <c r="J451" s="136"/>
      <c r="K451" s="136"/>
    </row>
    <row r="452" ht="15.75" customHeight="1">
      <c r="A452" s="136"/>
      <c r="B452" s="136"/>
      <c r="C452" s="136"/>
      <c r="D452" s="136"/>
      <c r="E452" s="136"/>
      <c r="F452" s="136"/>
      <c r="G452" s="136"/>
      <c r="H452" s="136"/>
      <c r="I452" s="136"/>
      <c r="J452" s="136"/>
      <c r="K452" s="136"/>
    </row>
    <row r="453" ht="15.75" customHeight="1">
      <c r="A453" s="136"/>
      <c r="B453" s="136"/>
      <c r="C453" s="136"/>
      <c r="D453" s="136"/>
      <c r="E453" s="136"/>
      <c r="F453" s="136"/>
      <c r="G453" s="136"/>
      <c r="H453" s="136"/>
      <c r="I453" s="136"/>
      <c r="J453" s="136"/>
      <c r="K453" s="136"/>
    </row>
    <row r="454" ht="15.75" customHeight="1">
      <c r="A454" s="136"/>
      <c r="B454" s="136"/>
      <c r="C454" s="136"/>
      <c r="D454" s="136"/>
      <c r="E454" s="136"/>
      <c r="F454" s="136"/>
      <c r="G454" s="136"/>
      <c r="H454" s="136"/>
      <c r="I454" s="136"/>
      <c r="J454" s="136"/>
      <c r="K454" s="136"/>
    </row>
    <row r="455" ht="15.75" customHeight="1">
      <c r="A455" s="136"/>
      <c r="B455" s="136"/>
      <c r="C455" s="136"/>
      <c r="D455" s="136"/>
      <c r="E455" s="136"/>
      <c r="F455" s="136"/>
      <c r="G455" s="136"/>
      <c r="H455" s="136"/>
      <c r="I455" s="136"/>
      <c r="J455" s="136"/>
      <c r="K455" s="136"/>
    </row>
    <row r="456" ht="15.75" customHeight="1">
      <c r="A456" s="136"/>
      <c r="B456" s="136"/>
      <c r="C456" s="136"/>
      <c r="D456" s="136"/>
      <c r="E456" s="136"/>
      <c r="F456" s="136"/>
      <c r="G456" s="136"/>
      <c r="H456" s="136"/>
      <c r="I456" s="136"/>
      <c r="J456" s="136"/>
      <c r="K456" s="136"/>
    </row>
    <row r="457" ht="15.75" customHeight="1">
      <c r="A457" s="136"/>
      <c r="B457" s="136"/>
      <c r="C457" s="136"/>
      <c r="D457" s="136"/>
      <c r="E457" s="136"/>
      <c r="F457" s="136"/>
      <c r="G457" s="136"/>
      <c r="H457" s="136"/>
      <c r="I457" s="136"/>
      <c r="J457" s="136"/>
      <c r="K457" s="136"/>
    </row>
    <row r="458" ht="15.75" customHeight="1">
      <c r="A458" s="136"/>
      <c r="B458" s="136"/>
      <c r="C458" s="136"/>
      <c r="D458" s="136"/>
      <c r="E458" s="136"/>
      <c r="F458" s="136"/>
      <c r="G458" s="136"/>
      <c r="H458" s="136"/>
      <c r="I458" s="136"/>
      <c r="J458" s="136"/>
      <c r="K458" s="136"/>
    </row>
    <row r="459" ht="15.75" customHeight="1">
      <c r="A459" s="136"/>
      <c r="B459" s="136"/>
      <c r="C459" s="136"/>
      <c r="D459" s="136"/>
      <c r="E459" s="136"/>
      <c r="F459" s="136"/>
      <c r="G459" s="136"/>
      <c r="H459" s="136"/>
      <c r="I459" s="136"/>
      <c r="J459" s="136"/>
      <c r="K459" s="136"/>
    </row>
    <row r="460" ht="15.75" customHeight="1">
      <c r="A460" s="136"/>
      <c r="B460" s="136"/>
      <c r="C460" s="136"/>
      <c r="D460" s="136"/>
      <c r="E460" s="136"/>
      <c r="F460" s="136"/>
      <c r="G460" s="136"/>
      <c r="H460" s="136"/>
      <c r="I460" s="136"/>
      <c r="J460" s="136"/>
      <c r="K460" s="136"/>
    </row>
    <row r="461" ht="15.75" customHeight="1">
      <c r="A461" s="136"/>
      <c r="B461" s="136"/>
      <c r="C461" s="136"/>
      <c r="D461" s="136"/>
      <c r="E461" s="136"/>
      <c r="F461" s="136"/>
      <c r="G461" s="136"/>
      <c r="H461" s="136"/>
      <c r="I461" s="136"/>
      <c r="J461" s="136"/>
      <c r="K461" s="136"/>
    </row>
    <row r="462" ht="15.75" customHeight="1">
      <c r="A462" s="136"/>
      <c r="B462" s="136"/>
      <c r="C462" s="136"/>
      <c r="D462" s="136"/>
      <c r="E462" s="136"/>
      <c r="F462" s="136"/>
      <c r="G462" s="136"/>
      <c r="H462" s="136"/>
      <c r="I462" s="136"/>
      <c r="J462" s="136"/>
      <c r="K462" s="136"/>
    </row>
    <row r="463" ht="15.75" customHeight="1">
      <c r="A463" s="136"/>
      <c r="B463" s="136"/>
      <c r="C463" s="136"/>
      <c r="D463" s="136"/>
      <c r="E463" s="136"/>
      <c r="F463" s="136"/>
      <c r="G463" s="136"/>
      <c r="H463" s="136"/>
      <c r="I463" s="136"/>
      <c r="J463" s="136"/>
      <c r="K463" s="136"/>
    </row>
    <row r="464" ht="15.75" customHeight="1">
      <c r="A464" s="136"/>
      <c r="B464" s="136"/>
      <c r="C464" s="136"/>
      <c r="D464" s="136"/>
      <c r="E464" s="136"/>
      <c r="F464" s="136"/>
      <c r="G464" s="136"/>
      <c r="H464" s="136"/>
      <c r="I464" s="136"/>
      <c r="J464" s="136"/>
      <c r="K464" s="136"/>
    </row>
    <row r="465" ht="15.75" customHeight="1">
      <c r="A465" s="136"/>
      <c r="B465" s="136"/>
      <c r="C465" s="136"/>
      <c r="D465" s="136"/>
      <c r="E465" s="136"/>
      <c r="F465" s="136"/>
      <c r="G465" s="136"/>
      <c r="H465" s="136"/>
      <c r="I465" s="136"/>
      <c r="J465" s="136"/>
      <c r="K465" s="136"/>
    </row>
    <row r="466" ht="15.75" customHeight="1">
      <c r="A466" s="136"/>
      <c r="B466" s="136"/>
      <c r="C466" s="136"/>
      <c r="D466" s="136"/>
      <c r="E466" s="136"/>
      <c r="F466" s="136"/>
      <c r="G466" s="136"/>
      <c r="H466" s="136"/>
      <c r="I466" s="136"/>
      <c r="J466" s="136"/>
      <c r="K466" s="136"/>
    </row>
    <row r="467" ht="15.75" customHeight="1">
      <c r="A467" s="136"/>
      <c r="B467" s="136"/>
      <c r="C467" s="136"/>
      <c r="D467" s="136"/>
      <c r="E467" s="136"/>
      <c r="F467" s="136"/>
      <c r="G467" s="136"/>
      <c r="H467" s="136"/>
      <c r="I467" s="136"/>
      <c r="J467" s="136"/>
      <c r="K467" s="136"/>
    </row>
    <row r="468" ht="15.75" customHeight="1">
      <c r="A468" s="136"/>
      <c r="B468" s="136"/>
      <c r="C468" s="136"/>
      <c r="D468" s="136"/>
      <c r="E468" s="136"/>
      <c r="F468" s="136"/>
      <c r="G468" s="136"/>
      <c r="H468" s="136"/>
      <c r="I468" s="136"/>
      <c r="J468" s="136"/>
      <c r="K468" s="136"/>
    </row>
    <row r="469" ht="15.75" customHeight="1">
      <c r="A469" s="136"/>
      <c r="B469" s="136"/>
      <c r="C469" s="136"/>
      <c r="D469" s="136"/>
      <c r="E469" s="136"/>
      <c r="F469" s="136"/>
      <c r="G469" s="136"/>
      <c r="H469" s="136"/>
      <c r="I469" s="136"/>
      <c r="J469" s="136"/>
      <c r="K469" s="136"/>
    </row>
    <row r="470" ht="15.75" customHeight="1">
      <c r="A470" s="136"/>
      <c r="B470" s="136"/>
      <c r="C470" s="136"/>
      <c r="D470" s="136"/>
      <c r="E470" s="136"/>
      <c r="F470" s="136"/>
      <c r="G470" s="136"/>
      <c r="H470" s="136"/>
      <c r="I470" s="136"/>
      <c r="J470" s="136"/>
      <c r="K470" s="136"/>
    </row>
    <row r="471" ht="15.75" customHeight="1">
      <c r="A471" s="136"/>
      <c r="B471" s="136"/>
      <c r="C471" s="136"/>
      <c r="D471" s="136"/>
      <c r="E471" s="136"/>
      <c r="F471" s="136"/>
      <c r="G471" s="136"/>
      <c r="H471" s="136"/>
      <c r="I471" s="136"/>
      <c r="J471" s="136"/>
      <c r="K471" s="136"/>
    </row>
    <row r="472" ht="15.75" customHeight="1">
      <c r="A472" s="136"/>
      <c r="B472" s="136"/>
      <c r="C472" s="136"/>
      <c r="D472" s="136"/>
      <c r="E472" s="136"/>
      <c r="F472" s="136"/>
      <c r="G472" s="136"/>
      <c r="H472" s="136"/>
      <c r="I472" s="136"/>
      <c r="J472" s="136"/>
      <c r="K472" s="136"/>
    </row>
    <row r="473" ht="15.75" customHeight="1">
      <c r="A473" s="136"/>
      <c r="B473" s="136"/>
      <c r="C473" s="136"/>
      <c r="D473" s="136"/>
      <c r="E473" s="136"/>
      <c r="F473" s="136"/>
      <c r="G473" s="136"/>
      <c r="H473" s="136"/>
      <c r="I473" s="136"/>
      <c r="J473" s="136"/>
      <c r="K473" s="136"/>
    </row>
    <row r="474" ht="15.75" customHeight="1">
      <c r="A474" s="136"/>
      <c r="B474" s="136"/>
      <c r="C474" s="136"/>
      <c r="D474" s="136"/>
      <c r="E474" s="136"/>
      <c r="F474" s="136"/>
      <c r="G474" s="136"/>
      <c r="H474" s="136"/>
      <c r="I474" s="136"/>
      <c r="J474" s="136"/>
      <c r="K474" s="136"/>
    </row>
    <row r="475" ht="15.75" customHeight="1">
      <c r="A475" s="136"/>
      <c r="B475" s="136"/>
      <c r="C475" s="136"/>
      <c r="D475" s="136"/>
      <c r="E475" s="136"/>
      <c r="F475" s="136"/>
      <c r="G475" s="136"/>
      <c r="H475" s="136"/>
      <c r="I475" s="136"/>
      <c r="J475" s="136"/>
      <c r="K475" s="136"/>
    </row>
    <row r="476" ht="15.75" customHeight="1">
      <c r="A476" s="136"/>
      <c r="B476" s="136"/>
      <c r="C476" s="136"/>
      <c r="D476" s="136"/>
      <c r="E476" s="136"/>
      <c r="F476" s="136"/>
      <c r="G476" s="136"/>
      <c r="H476" s="136"/>
      <c r="I476" s="136"/>
      <c r="J476" s="136"/>
      <c r="K476" s="136"/>
    </row>
    <row r="477" ht="15.75" customHeight="1">
      <c r="A477" s="136"/>
      <c r="B477" s="136"/>
      <c r="C477" s="136"/>
      <c r="D477" s="136"/>
      <c r="E477" s="136"/>
      <c r="F477" s="136"/>
      <c r="G477" s="136"/>
      <c r="H477" s="136"/>
      <c r="I477" s="136"/>
      <c r="J477" s="136"/>
      <c r="K477" s="136"/>
    </row>
    <row r="478" ht="15.75" customHeight="1">
      <c r="A478" s="136"/>
      <c r="B478" s="136"/>
      <c r="C478" s="136"/>
      <c r="D478" s="136"/>
      <c r="E478" s="136"/>
      <c r="F478" s="136"/>
      <c r="G478" s="136"/>
      <c r="H478" s="136"/>
      <c r="I478" s="136"/>
      <c r="J478" s="136"/>
      <c r="K478" s="136"/>
    </row>
    <row r="479" ht="15.75" customHeight="1">
      <c r="A479" s="136"/>
      <c r="B479" s="136"/>
      <c r="C479" s="136"/>
      <c r="D479" s="136"/>
      <c r="E479" s="136"/>
      <c r="F479" s="136"/>
      <c r="G479" s="136"/>
      <c r="H479" s="136"/>
      <c r="I479" s="136"/>
      <c r="J479" s="136"/>
      <c r="K479" s="136"/>
    </row>
    <row r="480" ht="15.75" customHeight="1">
      <c r="A480" s="136"/>
      <c r="B480" s="136"/>
      <c r="C480" s="136"/>
      <c r="D480" s="136"/>
      <c r="E480" s="136"/>
      <c r="F480" s="136"/>
      <c r="G480" s="136"/>
      <c r="H480" s="136"/>
      <c r="I480" s="136"/>
      <c r="J480" s="136"/>
      <c r="K480" s="136"/>
    </row>
    <row r="481" ht="15.75" customHeight="1">
      <c r="A481" s="136"/>
      <c r="B481" s="136"/>
      <c r="C481" s="136"/>
      <c r="D481" s="136"/>
      <c r="E481" s="136"/>
      <c r="F481" s="136"/>
      <c r="G481" s="136"/>
      <c r="H481" s="136"/>
      <c r="I481" s="136"/>
      <c r="J481" s="136"/>
      <c r="K481" s="136"/>
    </row>
    <row r="482" ht="15.75" customHeight="1">
      <c r="A482" s="136"/>
      <c r="B482" s="136"/>
      <c r="C482" s="136"/>
      <c r="D482" s="136"/>
      <c r="E482" s="136"/>
      <c r="F482" s="136"/>
      <c r="G482" s="136"/>
      <c r="H482" s="136"/>
      <c r="I482" s="136"/>
      <c r="J482" s="136"/>
      <c r="K482" s="136"/>
    </row>
    <row r="483" ht="15.75" customHeight="1">
      <c r="A483" s="136"/>
      <c r="B483" s="136"/>
      <c r="C483" s="136"/>
      <c r="D483" s="136"/>
      <c r="E483" s="136"/>
      <c r="F483" s="136"/>
      <c r="G483" s="136"/>
      <c r="H483" s="136"/>
      <c r="I483" s="136"/>
      <c r="J483" s="136"/>
      <c r="K483" s="136"/>
    </row>
    <row r="484" ht="15.75" customHeight="1">
      <c r="A484" s="136"/>
      <c r="B484" s="136"/>
      <c r="C484" s="136"/>
      <c r="D484" s="136"/>
      <c r="E484" s="136"/>
      <c r="F484" s="136"/>
      <c r="G484" s="136"/>
      <c r="H484" s="136"/>
      <c r="I484" s="136"/>
      <c r="J484" s="136"/>
      <c r="K484" s="136"/>
    </row>
    <row r="485" ht="15.75" customHeight="1">
      <c r="A485" s="136"/>
      <c r="B485" s="136"/>
      <c r="C485" s="136"/>
      <c r="D485" s="136"/>
      <c r="E485" s="136"/>
      <c r="F485" s="136"/>
      <c r="G485" s="136"/>
      <c r="H485" s="136"/>
      <c r="I485" s="136"/>
      <c r="J485" s="136"/>
      <c r="K485" s="136"/>
    </row>
    <row r="486" ht="15.75" customHeight="1">
      <c r="A486" s="136"/>
      <c r="B486" s="136"/>
      <c r="C486" s="136"/>
      <c r="D486" s="136"/>
      <c r="E486" s="136"/>
      <c r="F486" s="136"/>
      <c r="G486" s="136"/>
      <c r="H486" s="136"/>
      <c r="I486" s="136"/>
      <c r="J486" s="136"/>
      <c r="K486" s="136"/>
    </row>
    <row r="487" ht="15.75" customHeight="1">
      <c r="A487" s="136"/>
      <c r="B487" s="136"/>
      <c r="C487" s="136"/>
      <c r="D487" s="136"/>
      <c r="E487" s="136"/>
      <c r="F487" s="136"/>
      <c r="G487" s="136"/>
      <c r="H487" s="136"/>
      <c r="I487" s="136"/>
      <c r="J487" s="136"/>
      <c r="K487" s="136"/>
    </row>
    <row r="488" ht="15.75" customHeight="1">
      <c r="A488" s="136"/>
      <c r="B488" s="136"/>
      <c r="C488" s="136"/>
      <c r="D488" s="136"/>
      <c r="E488" s="136"/>
      <c r="F488" s="136"/>
      <c r="G488" s="136"/>
      <c r="H488" s="136"/>
      <c r="I488" s="136"/>
      <c r="J488" s="136"/>
      <c r="K488" s="136"/>
    </row>
    <row r="489" ht="15.75" customHeight="1">
      <c r="A489" s="136"/>
      <c r="B489" s="136"/>
      <c r="C489" s="136"/>
      <c r="D489" s="136"/>
      <c r="E489" s="136"/>
      <c r="F489" s="136"/>
      <c r="G489" s="136"/>
      <c r="H489" s="136"/>
      <c r="I489" s="136"/>
      <c r="J489" s="136"/>
      <c r="K489" s="136"/>
    </row>
    <row r="490" ht="15.75" customHeight="1">
      <c r="A490" s="136"/>
      <c r="B490" s="136"/>
      <c r="C490" s="136"/>
      <c r="D490" s="136"/>
      <c r="E490" s="136"/>
      <c r="F490" s="136"/>
      <c r="G490" s="136"/>
      <c r="H490" s="136"/>
      <c r="I490" s="136"/>
      <c r="J490" s="136"/>
      <c r="K490" s="136"/>
    </row>
    <row r="491" ht="15.75" customHeight="1">
      <c r="A491" s="136"/>
      <c r="B491" s="136"/>
      <c r="C491" s="136"/>
      <c r="D491" s="136"/>
      <c r="E491" s="136"/>
      <c r="F491" s="136"/>
      <c r="G491" s="136"/>
      <c r="H491" s="136"/>
      <c r="I491" s="136"/>
      <c r="J491" s="136"/>
      <c r="K491" s="136"/>
    </row>
    <row r="492" ht="15.75" customHeight="1">
      <c r="A492" s="136"/>
      <c r="B492" s="136"/>
      <c r="C492" s="136"/>
      <c r="D492" s="136"/>
      <c r="E492" s="136"/>
      <c r="F492" s="136"/>
      <c r="G492" s="136"/>
      <c r="H492" s="136"/>
      <c r="I492" s="136"/>
      <c r="J492" s="136"/>
      <c r="K492" s="136"/>
    </row>
    <row r="493" ht="15.75" customHeight="1">
      <c r="A493" s="136"/>
      <c r="B493" s="136"/>
      <c r="C493" s="136"/>
      <c r="D493" s="136"/>
      <c r="E493" s="136"/>
      <c r="F493" s="136"/>
      <c r="G493" s="136"/>
      <c r="H493" s="136"/>
      <c r="I493" s="136"/>
      <c r="J493" s="136"/>
      <c r="K493" s="136"/>
    </row>
    <row r="494" ht="15.75" customHeight="1">
      <c r="A494" s="136"/>
      <c r="B494" s="136"/>
      <c r="C494" s="136"/>
      <c r="D494" s="136"/>
      <c r="E494" s="136"/>
      <c r="F494" s="136"/>
      <c r="G494" s="136"/>
      <c r="H494" s="136"/>
      <c r="I494" s="136"/>
      <c r="J494" s="136"/>
      <c r="K494" s="136"/>
    </row>
    <row r="495" ht="15.75" customHeight="1">
      <c r="A495" s="136"/>
      <c r="B495" s="136"/>
      <c r="C495" s="136"/>
      <c r="D495" s="136"/>
      <c r="E495" s="136"/>
      <c r="F495" s="136"/>
      <c r="G495" s="136"/>
      <c r="H495" s="136"/>
      <c r="I495" s="136"/>
      <c r="J495" s="136"/>
      <c r="K495" s="136"/>
    </row>
    <row r="496" ht="15.75" customHeight="1">
      <c r="A496" s="136"/>
      <c r="B496" s="136"/>
      <c r="C496" s="136"/>
      <c r="D496" s="136"/>
      <c r="E496" s="136"/>
      <c r="F496" s="136"/>
      <c r="G496" s="136"/>
      <c r="H496" s="136"/>
      <c r="I496" s="136"/>
      <c r="J496" s="136"/>
      <c r="K496" s="136"/>
    </row>
    <row r="497" ht="15.75" customHeight="1">
      <c r="A497" s="136"/>
      <c r="B497" s="136"/>
      <c r="C497" s="136"/>
      <c r="D497" s="136"/>
      <c r="E497" s="136"/>
      <c r="F497" s="136"/>
      <c r="G497" s="136"/>
      <c r="H497" s="136"/>
      <c r="I497" s="136"/>
      <c r="J497" s="136"/>
      <c r="K497" s="136"/>
    </row>
    <row r="498" ht="15.75" customHeight="1">
      <c r="A498" s="136"/>
      <c r="B498" s="136"/>
      <c r="C498" s="136"/>
      <c r="D498" s="136"/>
      <c r="E498" s="136"/>
      <c r="F498" s="136"/>
      <c r="G498" s="136"/>
      <c r="H498" s="136"/>
      <c r="I498" s="136"/>
      <c r="J498" s="136"/>
      <c r="K498" s="136"/>
    </row>
    <row r="499" ht="15.75" customHeight="1">
      <c r="A499" s="136"/>
      <c r="B499" s="136"/>
      <c r="C499" s="136"/>
      <c r="D499" s="136"/>
      <c r="E499" s="136"/>
      <c r="F499" s="136"/>
      <c r="G499" s="136"/>
      <c r="H499" s="136"/>
      <c r="I499" s="136"/>
      <c r="J499" s="136"/>
      <c r="K499" s="136"/>
    </row>
    <row r="500" ht="15.75" customHeight="1">
      <c r="A500" s="136"/>
      <c r="B500" s="136"/>
      <c r="C500" s="136"/>
      <c r="D500" s="136"/>
      <c r="E500" s="136"/>
      <c r="F500" s="136"/>
      <c r="G500" s="136"/>
      <c r="H500" s="136"/>
      <c r="I500" s="136"/>
      <c r="J500" s="136"/>
      <c r="K500" s="136"/>
    </row>
    <row r="501" ht="15.75" customHeight="1">
      <c r="A501" s="136"/>
      <c r="B501" s="136"/>
      <c r="C501" s="136"/>
      <c r="D501" s="136"/>
      <c r="E501" s="136"/>
      <c r="F501" s="136"/>
      <c r="G501" s="136"/>
      <c r="H501" s="136"/>
      <c r="I501" s="136"/>
      <c r="J501" s="136"/>
      <c r="K501" s="136"/>
    </row>
    <row r="502" ht="15.75" customHeight="1">
      <c r="A502" s="136"/>
      <c r="B502" s="136"/>
      <c r="C502" s="136"/>
      <c r="D502" s="136"/>
      <c r="E502" s="136"/>
      <c r="F502" s="136"/>
      <c r="G502" s="136"/>
      <c r="H502" s="136"/>
      <c r="I502" s="136"/>
      <c r="J502" s="136"/>
      <c r="K502" s="136"/>
    </row>
    <row r="503" ht="15.75" customHeight="1">
      <c r="A503" s="136"/>
      <c r="B503" s="136"/>
      <c r="C503" s="136"/>
      <c r="D503" s="136"/>
      <c r="E503" s="136"/>
      <c r="F503" s="136"/>
      <c r="G503" s="136"/>
      <c r="H503" s="136"/>
      <c r="I503" s="136"/>
      <c r="J503" s="136"/>
      <c r="K503" s="136"/>
    </row>
    <row r="504" ht="15.75" customHeight="1">
      <c r="A504" s="136"/>
      <c r="B504" s="136"/>
      <c r="C504" s="136"/>
      <c r="D504" s="136"/>
      <c r="E504" s="136"/>
      <c r="F504" s="136"/>
      <c r="G504" s="136"/>
      <c r="H504" s="136"/>
      <c r="I504" s="136"/>
      <c r="J504" s="136"/>
      <c r="K504" s="136"/>
    </row>
    <row r="505" ht="15.75" customHeight="1">
      <c r="A505" s="136"/>
      <c r="B505" s="136"/>
      <c r="C505" s="136"/>
      <c r="D505" s="136"/>
      <c r="E505" s="136"/>
      <c r="F505" s="136"/>
      <c r="G505" s="136"/>
      <c r="H505" s="136"/>
      <c r="I505" s="136"/>
      <c r="J505" s="136"/>
      <c r="K505" s="136"/>
    </row>
    <row r="506" ht="15.75" customHeight="1">
      <c r="A506" s="136"/>
      <c r="B506" s="136"/>
      <c r="C506" s="136"/>
      <c r="D506" s="136"/>
      <c r="E506" s="136"/>
      <c r="F506" s="136"/>
      <c r="G506" s="136"/>
      <c r="H506" s="136"/>
      <c r="I506" s="136"/>
      <c r="J506" s="136"/>
      <c r="K506" s="136"/>
    </row>
    <row r="507" ht="15.75" customHeight="1">
      <c r="A507" s="136"/>
      <c r="B507" s="136"/>
      <c r="C507" s="136"/>
      <c r="D507" s="136"/>
      <c r="E507" s="136"/>
      <c r="F507" s="136"/>
      <c r="G507" s="136"/>
      <c r="H507" s="136"/>
      <c r="I507" s="136"/>
      <c r="J507" s="136"/>
      <c r="K507" s="136"/>
    </row>
    <row r="508" ht="15.75" customHeight="1">
      <c r="A508" s="136"/>
      <c r="B508" s="136"/>
      <c r="C508" s="136"/>
      <c r="D508" s="136"/>
      <c r="E508" s="136"/>
      <c r="F508" s="136"/>
      <c r="G508" s="136"/>
      <c r="H508" s="136"/>
      <c r="I508" s="136"/>
      <c r="J508" s="136"/>
      <c r="K508" s="136"/>
    </row>
    <row r="509" ht="15.75" customHeight="1">
      <c r="A509" s="136"/>
      <c r="B509" s="136"/>
      <c r="C509" s="136"/>
      <c r="D509" s="136"/>
      <c r="E509" s="136"/>
      <c r="F509" s="136"/>
      <c r="G509" s="136"/>
      <c r="H509" s="136"/>
      <c r="I509" s="136"/>
      <c r="J509" s="136"/>
      <c r="K509" s="136"/>
    </row>
    <row r="510" ht="15.75" customHeight="1">
      <c r="A510" s="136"/>
      <c r="B510" s="136"/>
      <c r="C510" s="136"/>
      <c r="D510" s="136"/>
      <c r="E510" s="136"/>
      <c r="F510" s="136"/>
      <c r="G510" s="136"/>
      <c r="H510" s="136"/>
      <c r="I510" s="136"/>
      <c r="J510" s="136"/>
      <c r="K510" s="136"/>
    </row>
    <row r="511" ht="15.75" customHeight="1">
      <c r="A511" s="136"/>
      <c r="B511" s="136"/>
      <c r="C511" s="136"/>
      <c r="D511" s="136"/>
      <c r="E511" s="136"/>
      <c r="F511" s="136"/>
      <c r="G511" s="136"/>
      <c r="H511" s="136"/>
      <c r="I511" s="136"/>
      <c r="J511" s="136"/>
      <c r="K511" s="136"/>
    </row>
    <row r="512" ht="15.75" customHeight="1">
      <c r="A512" s="136"/>
      <c r="B512" s="136"/>
      <c r="C512" s="136"/>
      <c r="D512" s="136"/>
      <c r="E512" s="136"/>
      <c r="F512" s="136"/>
      <c r="G512" s="136"/>
      <c r="H512" s="136"/>
      <c r="I512" s="136"/>
      <c r="J512" s="136"/>
      <c r="K512" s="136"/>
    </row>
    <row r="513" ht="15.75" customHeight="1">
      <c r="A513" s="136"/>
      <c r="B513" s="136"/>
      <c r="C513" s="136"/>
      <c r="D513" s="136"/>
      <c r="E513" s="136"/>
      <c r="F513" s="136"/>
      <c r="G513" s="136"/>
      <c r="H513" s="136"/>
      <c r="I513" s="136"/>
      <c r="J513" s="136"/>
      <c r="K513" s="136"/>
    </row>
    <row r="514" ht="15.75" customHeight="1">
      <c r="A514" s="136"/>
      <c r="B514" s="136"/>
      <c r="C514" s="136"/>
      <c r="D514" s="136"/>
      <c r="E514" s="136"/>
      <c r="F514" s="136"/>
      <c r="G514" s="136"/>
      <c r="H514" s="136"/>
      <c r="I514" s="136"/>
      <c r="J514" s="136"/>
      <c r="K514" s="136"/>
    </row>
    <row r="515" ht="15.75" customHeight="1">
      <c r="A515" s="136"/>
      <c r="B515" s="136"/>
      <c r="C515" s="136"/>
      <c r="D515" s="136"/>
      <c r="E515" s="136"/>
      <c r="F515" s="136"/>
      <c r="G515" s="136"/>
      <c r="H515" s="136"/>
      <c r="I515" s="136"/>
      <c r="J515" s="136"/>
      <c r="K515" s="136"/>
    </row>
    <row r="516" ht="15.75" customHeight="1">
      <c r="A516" s="136"/>
      <c r="B516" s="136"/>
      <c r="C516" s="136"/>
      <c r="D516" s="136"/>
      <c r="E516" s="136"/>
      <c r="F516" s="136"/>
      <c r="G516" s="136"/>
      <c r="H516" s="136"/>
      <c r="I516" s="136"/>
      <c r="J516" s="136"/>
      <c r="K516" s="136"/>
    </row>
    <row r="517" ht="15.75" customHeight="1">
      <c r="A517" s="136"/>
      <c r="B517" s="136"/>
      <c r="C517" s="136"/>
      <c r="D517" s="136"/>
      <c r="E517" s="136"/>
      <c r="F517" s="136"/>
      <c r="G517" s="136"/>
      <c r="H517" s="136"/>
      <c r="I517" s="136"/>
      <c r="J517" s="136"/>
      <c r="K517" s="136"/>
    </row>
    <row r="518" ht="15.75" customHeight="1">
      <c r="A518" s="136"/>
      <c r="B518" s="136"/>
      <c r="C518" s="136"/>
      <c r="D518" s="136"/>
      <c r="E518" s="136"/>
      <c r="F518" s="136"/>
      <c r="G518" s="136"/>
      <c r="H518" s="136"/>
      <c r="I518" s="136"/>
      <c r="J518" s="136"/>
      <c r="K518" s="136"/>
    </row>
    <row r="519" ht="15.75" customHeight="1">
      <c r="A519" s="136"/>
      <c r="B519" s="136"/>
      <c r="C519" s="136"/>
      <c r="D519" s="136"/>
      <c r="E519" s="136"/>
      <c r="F519" s="136"/>
      <c r="G519" s="136"/>
      <c r="H519" s="136"/>
      <c r="I519" s="136"/>
      <c r="J519" s="136"/>
      <c r="K519" s="136"/>
    </row>
    <row r="520" ht="15.75" customHeight="1">
      <c r="A520" s="136"/>
      <c r="B520" s="136"/>
      <c r="C520" s="136"/>
      <c r="D520" s="136"/>
      <c r="E520" s="136"/>
      <c r="F520" s="136"/>
      <c r="G520" s="136"/>
      <c r="H520" s="136"/>
      <c r="I520" s="136"/>
      <c r="J520" s="136"/>
      <c r="K520" s="136"/>
    </row>
    <row r="521" ht="15.75" customHeight="1">
      <c r="A521" s="136"/>
      <c r="B521" s="136"/>
      <c r="C521" s="136"/>
      <c r="D521" s="136"/>
      <c r="E521" s="136"/>
      <c r="F521" s="136"/>
      <c r="G521" s="136"/>
      <c r="H521" s="136"/>
      <c r="I521" s="136"/>
      <c r="J521" s="136"/>
      <c r="K521" s="136"/>
    </row>
    <row r="522" ht="15.75" customHeight="1">
      <c r="A522" s="136"/>
      <c r="B522" s="136"/>
      <c r="C522" s="136"/>
      <c r="D522" s="136"/>
      <c r="E522" s="136"/>
      <c r="F522" s="136"/>
      <c r="G522" s="136"/>
      <c r="H522" s="136"/>
      <c r="I522" s="136"/>
      <c r="J522" s="136"/>
      <c r="K522" s="136"/>
    </row>
    <row r="523" ht="15.75" customHeight="1">
      <c r="A523" s="136"/>
      <c r="B523" s="136"/>
      <c r="C523" s="136"/>
      <c r="D523" s="136"/>
      <c r="E523" s="136"/>
      <c r="F523" s="136"/>
      <c r="G523" s="136"/>
      <c r="H523" s="136"/>
      <c r="I523" s="136"/>
      <c r="J523" s="136"/>
      <c r="K523" s="136"/>
    </row>
    <row r="524" ht="15.75" customHeight="1">
      <c r="A524" s="136"/>
      <c r="B524" s="136"/>
      <c r="C524" s="136"/>
      <c r="D524" s="136"/>
      <c r="E524" s="136"/>
      <c r="F524" s="136"/>
      <c r="G524" s="136"/>
      <c r="H524" s="136"/>
      <c r="I524" s="136"/>
      <c r="J524" s="136"/>
      <c r="K524" s="136"/>
    </row>
    <row r="525" ht="15.75" customHeight="1">
      <c r="A525" s="136"/>
      <c r="B525" s="136"/>
      <c r="C525" s="136"/>
      <c r="D525" s="136"/>
      <c r="E525" s="136"/>
      <c r="F525" s="136"/>
      <c r="G525" s="136"/>
      <c r="H525" s="136"/>
      <c r="I525" s="136"/>
      <c r="J525" s="136"/>
      <c r="K525" s="136"/>
    </row>
    <row r="526" ht="15.75" customHeight="1">
      <c r="A526" s="136"/>
      <c r="B526" s="136"/>
      <c r="C526" s="136"/>
      <c r="D526" s="136"/>
      <c r="E526" s="136"/>
      <c r="F526" s="136"/>
      <c r="G526" s="136"/>
      <c r="H526" s="136"/>
      <c r="I526" s="136"/>
      <c r="J526" s="136"/>
      <c r="K526" s="136"/>
    </row>
    <row r="527" ht="15.75" customHeight="1">
      <c r="A527" s="136"/>
      <c r="B527" s="136"/>
      <c r="C527" s="136"/>
      <c r="D527" s="136"/>
      <c r="E527" s="136"/>
      <c r="F527" s="136"/>
      <c r="G527" s="136"/>
      <c r="H527" s="136"/>
      <c r="I527" s="136"/>
      <c r="J527" s="136"/>
      <c r="K527" s="136"/>
    </row>
    <row r="528" ht="15.75" customHeight="1">
      <c r="A528" s="136"/>
      <c r="B528" s="136"/>
      <c r="C528" s="136"/>
      <c r="D528" s="136"/>
      <c r="E528" s="136"/>
      <c r="F528" s="136"/>
      <c r="G528" s="136"/>
      <c r="H528" s="136"/>
      <c r="I528" s="136"/>
      <c r="J528" s="136"/>
      <c r="K528" s="136"/>
    </row>
    <row r="529" ht="15.75" customHeight="1">
      <c r="A529" s="136"/>
      <c r="B529" s="136"/>
      <c r="C529" s="136"/>
      <c r="D529" s="136"/>
      <c r="E529" s="136"/>
      <c r="F529" s="136"/>
      <c r="G529" s="136"/>
      <c r="H529" s="136"/>
      <c r="I529" s="136"/>
      <c r="J529" s="136"/>
      <c r="K529" s="136"/>
    </row>
    <row r="530" ht="15.75" customHeight="1">
      <c r="A530" s="136"/>
      <c r="B530" s="136"/>
      <c r="C530" s="136"/>
      <c r="D530" s="136"/>
      <c r="E530" s="136"/>
      <c r="F530" s="136"/>
      <c r="G530" s="136"/>
      <c r="H530" s="136"/>
      <c r="I530" s="136"/>
      <c r="J530" s="136"/>
      <c r="K530" s="136"/>
    </row>
    <row r="531" ht="15.75" customHeight="1">
      <c r="A531" s="136"/>
      <c r="B531" s="136"/>
      <c r="C531" s="136"/>
      <c r="D531" s="136"/>
      <c r="E531" s="136"/>
      <c r="F531" s="136"/>
      <c r="G531" s="136"/>
      <c r="H531" s="136"/>
      <c r="I531" s="136"/>
      <c r="J531" s="136"/>
      <c r="K531" s="136"/>
    </row>
    <row r="532" ht="15.75" customHeight="1">
      <c r="A532" s="136"/>
      <c r="B532" s="136"/>
      <c r="C532" s="136"/>
      <c r="D532" s="136"/>
      <c r="E532" s="136"/>
      <c r="F532" s="136"/>
      <c r="G532" s="136"/>
      <c r="H532" s="136"/>
      <c r="I532" s="136"/>
      <c r="J532" s="136"/>
      <c r="K532" s="136"/>
    </row>
    <row r="533" ht="15.75" customHeight="1">
      <c r="A533" s="136"/>
      <c r="B533" s="136"/>
      <c r="C533" s="136"/>
      <c r="D533" s="136"/>
      <c r="E533" s="136"/>
      <c r="F533" s="136"/>
      <c r="G533" s="136"/>
      <c r="H533" s="136"/>
      <c r="I533" s="136"/>
      <c r="J533" s="136"/>
      <c r="K533" s="136"/>
    </row>
    <row r="534" ht="15.75" customHeight="1">
      <c r="A534" s="136"/>
      <c r="B534" s="136"/>
      <c r="C534" s="136"/>
      <c r="D534" s="136"/>
      <c r="E534" s="136"/>
      <c r="F534" s="136"/>
      <c r="G534" s="136"/>
      <c r="H534" s="136"/>
      <c r="I534" s="136"/>
      <c r="J534" s="136"/>
      <c r="K534" s="136"/>
    </row>
    <row r="535" ht="15.75" customHeight="1">
      <c r="A535" s="136"/>
      <c r="B535" s="136"/>
      <c r="C535" s="136"/>
      <c r="D535" s="136"/>
      <c r="E535" s="136"/>
      <c r="F535" s="136"/>
      <c r="G535" s="136"/>
      <c r="H535" s="136"/>
      <c r="I535" s="136"/>
      <c r="J535" s="136"/>
      <c r="K535" s="136"/>
    </row>
    <row r="536" ht="15.75" customHeight="1">
      <c r="A536" s="136"/>
      <c r="B536" s="136"/>
      <c r="C536" s="136"/>
      <c r="D536" s="136"/>
      <c r="E536" s="136"/>
      <c r="F536" s="136"/>
      <c r="G536" s="136"/>
      <c r="H536" s="136"/>
      <c r="I536" s="136"/>
      <c r="J536" s="136"/>
      <c r="K536" s="136"/>
    </row>
    <row r="537" ht="15.75" customHeight="1">
      <c r="A537" s="136"/>
      <c r="B537" s="136"/>
      <c r="C537" s="136"/>
      <c r="D537" s="136"/>
      <c r="E537" s="136"/>
      <c r="F537" s="136"/>
      <c r="G537" s="136"/>
      <c r="H537" s="136"/>
      <c r="I537" s="136"/>
      <c r="J537" s="136"/>
      <c r="K537" s="136"/>
    </row>
    <row r="538" ht="15.75" customHeight="1">
      <c r="A538" s="136"/>
      <c r="B538" s="136"/>
      <c r="C538" s="136"/>
      <c r="D538" s="136"/>
      <c r="E538" s="136"/>
      <c r="F538" s="136"/>
      <c r="G538" s="136"/>
      <c r="H538" s="136"/>
      <c r="I538" s="136"/>
      <c r="J538" s="136"/>
      <c r="K538" s="136"/>
    </row>
    <row r="539" ht="15.75" customHeight="1">
      <c r="A539" s="136"/>
      <c r="B539" s="136"/>
      <c r="C539" s="136"/>
      <c r="D539" s="136"/>
      <c r="E539" s="136"/>
      <c r="F539" s="136"/>
      <c r="G539" s="136"/>
      <c r="H539" s="136"/>
      <c r="I539" s="136"/>
      <c r="J539" s="136"/>
      <c r="K539" s="136"/>
    </row>
    <row r="540" ht="15.75" customHeight="1">
      <c r="A540" s="136"/>
      <c r="B540" s="136"/>
      <c r="C540" s="136"/>
      <c r="D540" s="136"/>
      <c r="E540" s="136"/>
      <c r="F540" s="136"/>
      <c r="G540" s="136"/>
      <c r="H540" s="136"/>
      <c r="I540" s="136"/>
      <c r="J540" s="136"/>
      <c r="K540" s="136"/>
    </row>
    <row r="541" ht="15.75" customHeight="1">
      <c r="A541" s="136"/>
      <c r="B541" s="136"/>
      <c r="C541" s="136"/>
      <c r="D541" s="136"/>
      <c r="E541" s="136"/>
      <c r="F541" s="136"/>
      <c r="G541" s="136"/>
      <c r="H541" s="136"/>
      <c r="I541" s="136"/>
      <c r="J541" s="136"/>
      <c r="K541" s="136"/>
    </row>
    <row r="542" ht="15.75" customHeight="1">
      <c r="A542" s="136"/>
      <c r="B542" s="136"/>
      <c r="C542" s="136"/>
      <c r="D542" s="136"/>
      <c r="E542" s="136"/>
      <c r="F542" s="136"/>
      <c r="G542" s="136"/>
      <c r="H542" s="136"/>
      <c r="I542" s="136"/>
      <c r="J542" s="136"/>
      <c r="K542" s="136"/>
    </row>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C2:D2"/>
    <mergeCell ref="E2:G2"/>
    <mergeCell ref="C3:D3"/>
    <mergeCell ref="E3:G3"/>
    <mergeCell ref="A5:K5"/>
  </mergeCells>
  <printOptions gridLines="1" horizontalCentered="1"/>
  <pageMargins bottom="0.75" footer="0.0" header="0.0" left="0.7" right="0.7" top="0.75"/>
  <pageSetup fitToHeight="0" paperSize="9" cellComments="atEnd" orientation="landscape" pageOrder="overThenDown"/>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c r="A1" s="134" t="s">
        <v>193</v>
      </c>
      <c r="B1" s="134" t="s">
        <v>194</v>
      </c>
    </row>
    <row r="2">
      <c r="A2" s="134" t="s">
        <v>195</v>
      </c>
      <c r="B2" s="134" t="s">
        <v>196</v>
      </c>
    </row>
    <row r="3">
      <c r="A3" s="134" t="s">
        <v>198</v>
      </c>
      <c r="B3" s="134" t="s">
        <v>199</v>
      </c>
    </row>
    <row r="4">
      <c r="A4" s="134" t="s">
        <v>200</v>
      </c>
      <c r="B4" s="134" t="s">
        <v>201</v>
      </c>
    </row>
    <row r="5">
      <c r="A5" s="134" t="s">
        <v>202</v>
      </c>
      <c r="B5" s="134" t="s">
        <v>203</v>
      </c>
    </row>
    <row r="6">
      <c r="A6" s="134" t="s">
        <v>204</v>
      </c>
      <c r="B6" s="134" t="s">
        <v>199</v>
      </c>
    </row>
    <row r="7">
      <c r="A7" s="134" t="s">
        <v>205</v>
      </c>
      <c r="B7" s="134" t="s">
        <v>206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c r="A1" s="134" t="s">
        <v>209</v>
      </c>
      <c r="B1" s="134" t="s">
        <v>210</v>
      </c>
      <c r="C1" s="134" t="s">
        <v>211</v>
      </c>
      <c r="D1" s="134" t="s">
        <v>212</v>
      </c>
      <c r="E1" s="134" t="s">
        <v>213</v>
      </c>
      <c r="F1" s="134" t="s">
        <v>215</v>
      </c>
      <c r="G1" s="134" t="s">
        <v>216</v>
      </c>
      <c r="H1" s="134" t="s">
        <v>218</v>
      </c>
      <c r="I1" s="134" t="s">
        <v>219</v>
      </c>
      <c r="J1" s="134" t="s">
        <v>220</v>
      </c>
      <c r="K1" s="134" t="s">
        <v>221</v>
      </c>
      <c r="L1" s="134" t="s">
        <v>222</v>
      </c>
      <c r="M1" s="134" t="s">
        <v>223</v>
      </c>
      <c r="N1" s="134" t="s">
        <v>224</v>
      </c>
      <c r="O1" s="134" t="s">
        <v>225</v>
      </c>
      <c r="P1" s="134" t="s">
        <v>226</v>
      </c>
      <c r="Q1" s="134" t="s">
        <v>227</v>
      </c>
      <c r="R1" s="134" t="s">
        <v>228</v>
      </c>
      <c r="S1" s="134" t="s">
        <v>229</v>
      </c>
      <c r="T1" s="134" t="s">
        <v>231</v>
      </c>
      <c r="U1" s="134" t="s">
        <v>233</v>
      </c>
      <c r="V1" s="134" t="s">
        <v>234</v>
      </c>
      <c r="W1" s="134" t="s">
        <v>235</v>
      </c>
      <c r="X1" s="134" t="s">
        <v>236</v>
      </c>
      <c r="Y1" s="134" t="s">
        <v>237</v>
      </c>
      <c r="Z1" s="134" t="s">
        <v>238</v>
      </c>
      <c r="AA1" s="134" t="s">
        <v>239</v>
      </c>
      <c r="AB1" s="134" t="s">
        <v>240</v>
      </c>
      <c r="AC1" s="134" t="s">
        <v>241</v>
      </c>
    </row>
    <row r="2">
      <c r="A2" s="134" t="s">
        <v>242</v>
      </c>
      <c r="B2" s="134" t="s">
        <v>243</v>
      </c>
      <c r="C2" s="134" t="s">
        <v>244</v>
      </c>
      <c r="D2" s="134">
        <v>1.129624565E9</v>
      </c>
      <c r="E2" s="134">
        <v>1.0</v>
      </c>
      <c r="F2" s="134">
        <v>2.0</v>
      </c>
      <c r="G2" s="134" t="s">
        <v>245</v>
      </c>
      <c r="H2" s="134" t="s">
        <v>246</v>
      </c>
      <c r="I2" s="134" t="s">
        <v>247</v>
      </c>
      <c r="J2" s="134" t="s">
        <v>248</v>
      </c>
      <c r="K2" s="134" t="s">
        <v>249</v>
      </c>
      <c r="L2" s="134" t="s">
        <v>249</v>
      </c>
      <c r="M2" s="134" t="s">
        <v>250</v>
      </c>
      <c r="N2" s="134" t="b">
        <v>1</v>
      </c>
      <c r="O2" s="134" t="s">
        <v>251</v>
      </c>
      <c r="P2" s="134" t="b">
        <v>0</v>
      </c>
      <c r="R2" s="134" t="b">
        <v>1</v>
      </c>
      <c r="S2" s="134" t="b">
        <v>0</v>
      </c>
      <c r="T2" s="134"/>
      <c r="X2" s="134" t="b">
        <v>0</v>
      </c>
      <c r="Y2" s="134"/>
      <c r="Z2" s="134"/>
      <c r="AA2" s="134" t="b">
        <v>0</v>
      </c>
      <c r="AC2" s="134" t="s">
        <v>252</v>
      </c>
    </row>
    <row r="3">
      <c r="A3" s="134"/>
      <c r="B3" s="134"/>
      <c r="C3" s="134"/>
      <c r="G3" s="134"/>
      <c r="H3" s="134"/>
      <c r="I3" s="134"/>
      <c r="J3" s="134"/>
      <c r="K3" s="134"/>
      <c r="L3" s="134"/>
      <c r="M3" s="134"/>
      <c r="N3" s="134"/>
      <c r="O3" s="134"/>
      <c r="P3" s="134"/>
      <c r="R3" s="134"/>
      <c r="S3" s="134"/>
      <c r="X3" s="134"/>
      <c r="AA3" s="13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